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firstSheet="2" activeTab="5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</sheets>
  <definedNames/>
  <calcPr fullCalcOnLoad="1"/>
</workbook>
</file>

<file path=xl/sharedStrings.xml><?xml version="1.0" encoding="utf-8"?>
<sst xmlns="http://schemas.openxmlformats.org/spreadsheetml/2006/main" count="534" uniqueCount="403">
  <si>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</si>
  <si>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</si>
  <si>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</si>
  <si>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</si>
  <si>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</si>
  <si>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</si>
  <si>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</si>
  <si>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</si>
  <si>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</si>
  <si>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</si>
  <si>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</si>
  <si>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</si>
  <si>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</si>
  <si>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</si>
  <si>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</si>
  <si>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</si>
  <si>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</si>
  <si>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</si>
  <si>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</si>
  <si>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</si>
  <si>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Cestná doprava / transfér SAD /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</si>
  <si>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</si>
  <si>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</si>
  <si>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</si>
  <si>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</si>
  <si>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</si>
  <si>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</si>
  <si>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</si>
  <si>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</si>
  <si>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</si>
  <si>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</si>
  <si>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</si>
  <si>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</si>
  <si>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</si>
  <si>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</si>
  <si>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</si>
  <si>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</si>
  <si>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</si>
  <si>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</si>
  <si>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</si>
  <si>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</si>
  <si>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Knihy</t>
  </si>
  <si>
    <t>Ostatné transféry na  kultúru</t>
  </si>
  <si>
    <t>08.4</t>
  </si>
  <si>
    <t>Náboženské a iné spoločenské služby</t>
  </si>
  <si>
    <t>Školstvo</t>
  </si>
  <si>
    <t>Školský úrad</t>
  </si>
  <si>
    <t>Rezerva na školstvo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</si>
  <si>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</si>
  <si>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</si>
  <si>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</si>
  <si>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</si>
  <si>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</si>
  <si>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</si>
  <si>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</si>
  <si>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</si>
  <si>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</si>
  <si>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Štipendia -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</si>
  <si>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</si>
  <si>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</si>
  <si>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</si>
  <si>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</si>
  <si>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</si>
  <si>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</si>
  <si>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</si>
  <si>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</si>
  <si>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</si>
  <si>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bežné transfery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</si>
  <si>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</si>
  <si>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</si>
  <si>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</si>
  <si>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</si>
  <si>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</si>
  <si>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</si>
  <si>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</si>
  <si>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</si>
  <si>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</si>
  <si>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</si>
  <si>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</si>
  <si>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</si>
  <si>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</si>
  <si>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</si>
  <si>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u k a z o v a t e ľ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</si>
  <si>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</si>
  <si>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</si>
  <si>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</si>
  <si>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</si>
  <si>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</si>
  <si>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</si>
  <si>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</si>
  <si>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</si>
  <si>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</si>
  <si>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</si>
  <si>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</si>
  <si>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</si>
  <si>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</si>
  <si>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</si>
  <si>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</si>
  <si>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</si>
  <si>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</si>
  <si>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</si>
  <si>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</si>
  <si>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 xml:space="preserve">     pokuty a penále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</si>
  <si>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</si>
  <si>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</si>
  <si>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</si>
  <si>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</si>
  <si>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</si>
  <si>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</si>
  <si>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</si>
  <si>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</si>
  <si>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</si>
  <si>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</si>
  <si>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</si>
  <si>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</si>
  <si>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Dar "Dni Majstra Pavla" U.S.Steel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</si>
  <si>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</si>
  <si>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</si>
  <si>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</si>
  <si>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</si>
  <si>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</si>
  <si>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</si>
  <si>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</si>
  <si>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</si>
  <si>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</si>
  <si>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</si>
  <si>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</si>
  <si>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</si>
  <si>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</si>
  <si>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</si>
  <si>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</si>
  <si>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</si>
  <si>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</si>
  <si>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</si>
  <si>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</si>
  <si>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</si>
  <si>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hnuteľného majetku</t>
  </si>
  <si>
    <t xml:space="preserve">     z pozemkov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</si>
  <si>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</si>
  <si>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</si>
  <si>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</si>
  <si>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</si>
  <si>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</si>
  <si>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</si>
  <si>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</si>
  <si>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</si>
  <si>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</si>
  <si>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</si>
  <si>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</si>
  <si>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</si>
  <si>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</si>
  <si>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</si>
  <si>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</si>
  <si>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</si>
  <si>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</si>
  <si>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</si>
  <si>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</si>
  <si>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</si>
  <si>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</si>
  <si>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</si>
  <si>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</si>
  <si>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</si>
  <si>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</si>
  <si>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</si>
  <si>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</si>
  <si>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</si>
  <si>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</si>
  <si>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</si>
  <si>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</si>
  <si>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</si>
  <si>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</si>
  <si>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</si>
  <si>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</si>
  <si>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</si>
  <si>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</si>
  <si>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</si>
  <si>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</si>
  <si>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</si>
  <si>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</si>
  <si>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</si>
  <si>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</si>
  <si>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</si>
  <si>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</si>
  <si>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</si>
  <si>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</si>
  <si>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</si>
  <si>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</si>
  <si>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</si>
  <si>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</si>
  <si>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</si>
  <si>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</si>
  <si>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Ostatné</t>
  </si>
  <si>
    <t>Splácanie bankových úverov dlhodobých</t>
  </si>
  <si>
    <t>Chránená dielňa 1</t>
  </si>
  <si>
    <t>Chránená dielňa 2</t>
  </si>
  <si>
    <t>Chránená dielňa 3</t>
  </si>
  <si>
    <t>Transfer pre komunitné centrum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</si>
  <si>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</si>
  <si>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</si>
  <si>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</si>
  <si>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</si>
  <si>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</si>
  <si>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</si>
  <si>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</si>
  <si>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</si>
  <si>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</si>
  <si>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</si>
  <si>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</si>
  <si>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</si>
  <si>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</si>
  <si>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 xml:space="preserve">     ostatné príjmy</t>
  </si>
  <si>
    <t>01.6</t>
  </si>
  <si>
    <t xml:space="preserve">REKAPITULÁCIA  PRÍJMOV  A  VÝDAVKOV </t>
  </si>
  <si>
    <t>Transfer REGOB</t>
  </si>
  <si>
    <t>Iné všeobecné služby-matrika</t>
  </si>
  <si>
    <t>Tlač knižnej publikácie - Levoča</t>
  </si>
  <si>
    <t xml:space="preserve">rezerva </t>
  </si>
  <si>
    <t>Dotácia na vojn.hroby-Pamätník</t>
  </si>
  <si>
    <t>Ochrana životného prostredia</t>
  </si>
  <si>
    <t>Partnerské mestá</t>
  </si>
  <si>
    <t>Dar "Dni Majstra Pavla" Prešov.sam.kraj</t>
  </si>
  <si>
    <t>Dar "Dni Majstra Pavla" Úrad vlády SR</t>
  </si>
  <si>
    <t>leasing</t>
  </si>
  <si>
    <t>REGOB</t>
  </si>
  <si>
    <t>Vojnové hroby</t>
  </si>
  <si>
    <t>Náklady na školstvo-cirkev.</t>
  </si>
  <si>
    <t>08.2.0.</t>
  </si>
  <si>
    <t>finančný prenájom</t>
  </si>
  <si>
    <t>Cykloturistický chodník I. etepa</t>
  </si>
  <si>
    <t>IBV sídl. Západ verejné osvetlenie</t>
  </si>
  <si>
    <t>Káblová televízia - štúdia</t>
  </si>
  <si>
    <t>TP Ochranné povodňové stavby</t>
  </si>
  <si>
    <t>Polohopis výškopis, zamerania</t>
  </si>
  <si>
    <t>Transfer KÚCD a PK</t>
  </si>
  <si>
    <t>nákup pozemkov Mengušovská</t>
  </si>
  <si>
    <t>nákup pozemkov tur. chodník</t>
  </si>
  <si>
    <t>nákup pozemkov kúpalisko</t>
  </si>
  <si>
    <t>nákup pozemkov hradobné priekopy</t>
  </si>
  <si>
    <t>nákup pozemkov ul. Športovcov</t>
  </si>
  <si>
    <t>nákup pozemkov ul.Potočná</t>
  </si>
  <si>
    <t>nákup pozemkov ul.Štúrova</t>
  </si>
  <si>
    <t>Príspevok pre SÚZ</t>
  </si>
  <si>
    <t>ŠJ - nákup technológií</t>
  </si>
  <si>
    <t xml:space="preserve">predaj akcií </t>
  </si>
  <si>
    <t>20 B.J: Nájomné byty- sídl. Rozvoj</t>
  </si>
  <si>
    <t>TV 20 B.J: Nájomné byty- sídl. Rozvoj</t>
  </si>
  <si>
    <t>20 B.J: Nájomné byty- sídl. Západ</t>
  </si>
  <si>
    <t>TV 20 B.J: Nájomné byty- sídl. Západ</t>
  </si>
  <si>
    <t>TV 19 RCH Lev. Dolina</t>
  </si>
  <si>
    <t>Úprava komunikácie ul.V. Greshika</t>
  </si>
  <si>
    <t>Úprava chodníkov ul. Nad tehelňou</t>
  </si>
  <si>
    <t xml:space="preserve">Výstavba chodníka ul. Bottova </t>
  </si>
  <si>
    <t>Viacúčelové ihrisko ZŠ Francisciho</t>
  </si>
  <si>
    <t>MŠ Francisciho- konvektomat</t>
  </si>
  <si>
    <t>MŠ G. Haina - konvektomat</t>
  </si>
  <si>
    <t>TP Hradby juhozápad</t>
  </si>
  <si>
    <t>TP Športovo - rekreačné centrum</t>
  </si>
  <si>
    <t>Stavebný dozor, autorský dozor</t>
  </si>
  <si>
    <t>TP Multifunkčné ihrisko ZŠ Kluberta</t>
  </si>
  <si>
    <t>Príspevok pre MKS</t>
  </si>
  <si>
    <t>MPV pozemkov - skládka TKO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</si>
  <si>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</si>
  <si>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</si>
  <si>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</si>
  <si>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</si>
  <si>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</si>
  <si>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Transfer pre SÚZ</t>
  </si>
  <si>
    <t>Úprava komunikácie Závada</t>
  </si>
  <si>
    <t>Rozšírenie VO Závada</t>
  </si>
  <si>
    <t>Nákup budovy-Levočské Lúky</t>
  </si>
  <si>
    <t>ochrana deti</t>
  </si>
  <si>
    <t>Nákup sirény</t>
  </si>
  <si>
    <t>Časť 1.1 Bežný rozpočet</t>
  </si>
  <si>
    <t>TP parkovisko sídl. Západ-štúdia</t>
  </si>
  <si>
    <t>vklad do ZI VNsP</t>
  </si>
  <si>
    <t>Dar "Dni Majstra Pavla" SLOV-MATIC</t>
  </si>
  <si>
    <t>Dar "Dni Majstra Pavla" - Pedant</t>
  </si>
  <si>
    <t>Rozšírenie VO Nad tehelňou</t>
  </si>
  <si>
    <t>TP servisný objekt-prestavba na DOS</t>
  </si>
  <si>
    <t>SR- Špeciálna ZŠ</t>
  </si>
  <si>
    <t>MPV MŠ G. Haina</t>
  </si>
  <si>
    <t>MPV - ostatné</t>
  </si>
  <si>
    <t>Sklady palív k 4 BD Lev. Lúky</t>
  </si>
  <si>
    <t>TP NMP - II etapa</t>
  </si>
  <si>
    <t>NMP č.58 -Kino , výmena okien</t>
  </si>
  <si>
    <t>kamerový systém</t>
  </si>
  <si>
    <t>Ostatné  - obce zmluva TKO</t>
  </si>
  <si>
    <t xml:space="preserve">Za záber VP </t>
  </si>
  <si>
    <t xml:space="preserve">MAS LEV- členské </t>
  </si>
  <si>
    <t xml:space="preserve">     z prenájmu bytov a nebyt. priestorov</t>
  </si>
  <si>
    <t>bytov a nebyt. priestorov</t>
  </si>
  <si>
    <t>Príspevok pre TS</t>
  </si>
  <si>
    <t>NMP č.2 - MsÚ , rekonštruk.fasády</t>
  </si>
  <si>
    <t>vyrovnanie VNsP a.s. - plyn. prípojka</t>
  </si>
  <si>
    <t>TP Úprava komuni. ul. Pri Podkove</t>
  </si>
  <si>
    <t>Rozšírenie komuni. ul. Francisciho</t>
  </si>
  <si>
    <t>MŠ G. Hermana - rekonštruk. budovy</t>
  </si>
  <si>
    <t>TP Viacúčelové ihrisko ZŠ Francis.</t>
  </si>
  <si>
    <t>TP NMPč.58 -Kino,prest.na multi.zar.</t>
  </si>
  <si>
    <t>NMP č. 54 Divadlo,bezbariérový vstup</t>
  </si>
  <si>
    <t>MK SR - Kostol sv. Jakuba,výskum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</si>
  <si>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</si>
  <si>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</si>
  <si>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</si>
  <si>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</si>
  <si>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</si>
  <si>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</si>
  <si>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nákup pozemkov Ovocinárska</t>
  </si>
  <si>
    <t>nákup pozemkov strelnica</t>
  </si>
  <si>
    <t>nákup budovy-strelnica</t>
  </si>
  <si>
    <t>NMP č.43 - fasáda</t>
  </si>
  <si>
    <t>Košická ul. 8  pamiatkový výskum + PD</t>
  </si>
  <si>
    <t>NMP I. etapa</t>
  </si>
  <si>
    <t>Úprava chodníka - Nová ul.</t>
  </si>
  <si>
    <t>Chodník cintorín - VI.etepa</t>
  </si>
  <si>
    <t>Rozšírenie VO Žel. Riadok</t>
  </si>
  <si>
    <t>MŠ Žel. riadok - školská infraštruk.</t>
  </si>
  <si>
    <t>MŠ G. Hermana - ihrisko</t>
  </si>
  <si>
    <t>MŠ Francisciho - ihrisko</t>
  </si>
  <si>
    <t>Projektová príprava</t>
  </si>
  <si>
    <t>Úprava chodníkov Rovoj a Západ</t>
  </si>
  <si>
    <t>ZUŠ Levoča - hydroizolácia</t>
  </si>
  <si>
    <t>nákup pozemkov HOR</t>
  </si>
  <si>
    <t>NMP č.50,51 -pomerové výk.rozdelov.</t>
  </si>
  <si>
    <t>GPS Kataster navigátor</t>
  </si>
  <si>
    <t>Tranfer na Technické služby</t>
  </si>
  <si>
    <t>MŠ Francisciho - školská infraštruk.</t>
  </si>
  <si>
    <t>ZŠ G. Haina - školská infraštruk.</t>
  </si>
  <si>
    <t>ZŠ Francisciho - školská infraštruk.</t>
  </si>
  <si>
    <t>MŠ G. Haina - školská infraštruk.</t>
  </si>
  <si>
    <t>Rozšírenie VO - ostatné</t>
  </si>
  <si>
    <t>NMP č.4 - MsÚ,, rekonšt. Fasády</t>
  </si>
  <si>
    <t>NMP č.47 pamiatkový výskum + PD</t>
  </si>
  <si>
    <t>Cykloturistický chodník II. etepa</t>
  </si>
  <si>
    <t>Rozpočet rok 2010</t>
  </si>
  <si>
    <t>Dar "Dni Majstra Pavla"-PVS Poprad</t>
  </si>
  <si>
    <t>Dar "Dni Majstra Pavla" -DEXIA</t>
  </si>
  <si>
    <t>Dar "Dni Majstra Pavla" APOLLO</t>
  </si>
  <si>
    <t>Dar "Dni Majstra Pavla" Repčiaková</t>
  </si>
  <si>
    <t>Dar "Dni Majstra Pavla" MK SR</t>
  </si>
  <si>
    <t>Transfer - MŽP SR</t>
  </si>
  <si>
    <t>Transfer - MV a RR SR</t>
  </si>
  <si>
    <t>MK SR - Kostol sv. Jakuba-fasáda</t>
  </si>
  <si>
    <t>Recyklačný fond</t>
  </si>
  <si>
    <t>Kostol sv. Jakuba,výskum</t>
  </si>
  <si>
    <t>Buranie  garáži - ul. Športovcov</t>
  </si>
  <si>
    <t>Kostol sv. Jakuba-fasáda</t>
  </si>
  <si>
    <t>Štúdie, expertízy, posudky</t>
  </si>
  <si>
    <t>ver. obstarávanie a externý man</t>
  </si>
  <si>
    <t>Mariánska púť - benefičný koncert</t>
  </si>
  <si>
    <t>Dni Majstra Pavla</t>
  </si>
  <si>
    <t>Technické služby-cint. služby</t>
  </si>
  <si>
    <t>Server</t>
  </si>
  <si>
    <t>Karpatské klim. mestečká</t>
  </si>
  <si>
    <t>Voda - Lev.Lúky</t>
  </si>
  <si>
    <t>nákup pozemkov minoriti - vodná nádrž</t>
  </si>
  <si>
    <t>Odvod z výťažku 5%</t>
  </si>
  <si>
    <t>Bezdrôtový rozhlas</t>
  </si>
  <si>
    <t>dot. na  obnovu kult. pamiatok</t>
  </si>
  <si>
    <t>Informačné tabule + PD</t>
  </si>
  <si>
    <t>Objekt VNsP</t>
  </si>
  <si>
    <t>Splácanie bankových úverov ŠFRB</t>
  </si>
  <si>
    <t>ZŠ G. Haina - strecha ŠJ</t>
  </si>
  <si>
    <t>Jedáleň pre dôchodcov</t>
  </si>
  <si>
    <t>Údržba ciest - sídl. Rozvoj</t>
  </si>
  <si>
    <t>Územný plán mesta</t>
  </si>
  <si>
    <t xml:space="preserve">Prestavba NMP I. etapa </t>
  </si>
  <si>
    <t>630</t>
  </si>
  <si>
    <t>Uzat.a rek.skládky KO D.Stráže</t>
  </si>
  <si>
    <t>MŽP SR Uzat.a rek.skládky KO D.Stráže</t>
  </si>
  <si>
    <t xml:space="preserve">MV a RR SR prestavba NMP I. etapa </t>
  </si>
  <si>
    <t>MŠ Žel. riadok 3 škol.infra.</t>
  </si>
  <si>
    <t>MV a RR SR MŠ Žel. riadok 3 škol.infra.</t>
  </si>
  <si>
    <t>ZŠ Francisciho 11 škol. infra.</t>
  </si>
  <si>
    <t>ZŠ G. Haina 37 škol. infra.</t>
  </si>
  <si>
    <t>MV a RR SR ZŠ Francisciho 11 škol. infra.</t>
  </si>
  <si>
    <t>MV a RR SR ZŠ G. Haina 37 škol. infra.</t>
  </si>
  <si>
    <t>NMP č 2-radnica, obnova fasády</t>
  </si>
  <si>
    <t>MK SR NMP č 2-radnica, obnova fasády</t>
  </si>
  <si>
    <t>Úprava komuni. ul. Hradby</t>
  </si>
  <si>
    <t>hradobné opevnenie - sever</t>
  </si>
  <si>
    <t>Prestavba komunikácie ul.Špitálska</t>
  </si>
  <si>
    <t>MV a RR SR NMP I. etapa</t>
  </si>
  <si>
    <t>MVaRR SR MŠ Žel. riadok-škol.infra.</t>
  </si>
  <si>
    <t>MVaRR SR ZŠ Francisciho-škol.infra.</t>
  </si>
  <si>
    <t>MVaRR SR ZŠ G. Haina - škol. infra.</t>
  </si>
  <si>
    <t>MŽP SR Rekulti.skládky KO D. Stráže</t>
  </si>
  <si>
    <t>Rekulti. skládky KO Dlhé Stráže</t>
  </si>
  <si>
    <t>TP Rekulti. skládky KO Dlhé Stráže</t>
  </si>
  <si>
    <t>Stary Sacz - Levča, karp. mestečká</t>
  </si>
  <si>
    <t>MVaRR SR St.Sacz-Levča, karp. mestečká</t>
  </si>
  <si>
    <t>Vodovod Kežmarská cesta</t>
  </si>
  <si>
    <t>Úprava mosta Lev. Dolina</t>
  </si>
  <si>
    <t>Úprava komu.ul.Mengusovská</t>
  </si>
  <si>
    <t>Ižinierske siete-IBV Lev.Dolina II.etapa</t>
  </si>
  <si>
    <t>Ižinierske siete-IBV Lev.Dolina III.etapa</t>
  </si>
  <si>
    <t>Kostol sv. Jakuba - svätyňa</t>
  </si>
  <si>
    <t>MK SR Kostol sv. Jakuba - svätyňa</t>
  </si>
  <si>
    <t>ČOV Lev. Lúky - odvodnenie</t>
  </si>
  <si>
    <t>Hnedý priemyselný park</t>
  </si>
  <si>
    <t>TP -hnedý priemyselný park</t>
  </si>
  <si>
    <t>Rozpočet rok 2011</t>
  </si>
  <si>
    <t>Rozpočet rok 2012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</si>
</sst>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\ _S_k"/>
    <numFmt numFmtId="166" formatCode="0.0"/>
    <numFmt numFmtId="167" formatCode="[$-41B]d\.\ mmmm\ yyyy"/>
    <numFmt numFmtId="168" formatCode="#,##0.000"/>
    <numFmt numFmtId="169" formatCode="#,##0.0000"/>
  </numFmts>
  <fonts count="38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sz val="11"/>
      <name val="Arial CE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medium"/>
      <bottom style="hair"/>
    </border>
    <border>
      <left style="double"/>
      <right style="medium"/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uble"/>
      <bottom style="double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hair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hair"/>
      <bottom style="double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539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7" fillId="19" borderId="1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2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31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11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13" fillId="0" borderId="0" xfId="0" applyFont="1" applyAlignment="1">
      <alignment/>
    </xf>
    <xf numFmtId="3" fontId="9" fillId="19" borderId="11" xfId="0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3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0" fillId="16" borderId="11" xfId="0" applyNumberFormat="1" applyFont="1" applyFill="1" applyBorder="1" applyAlignment="1">
      <alignment/>
    </xf>
    <xf numFmtId="3" fontId="7" fillId="19" borderId="35" xfId="0" applyNumberFormat="1" applyFont="1" applyFill="1" applyBorder="1" applyAlignment="1">
      <alignment/>
    </xf>
    <xf numFmtId="3" fontId="7" fillId="19" borderId="11" xfId="0" applyNumberFormat="1" applyFont="1" applyFill="1" applyBorder="1" applyAlignment="1">
      <alignment/>
    </xf>
    <xf numFmtId="16" fontId="1" fillId="0" borderId="0" xfId="0" applyNumberFormat="1" applyFont="1" applyAlignment="1">
      <alignment/>
    </xf>
    <xf numFmtId="49" fontId="1" fillId="0" borderId="35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7" fillId="19" borderId="12" xfId="0" applyNumberFormat="1" applyFont="1" applyFill="1" applyBorder="1" applyAlignment="1">
      <alignment/>
    </xf>
    <xf numFmtId="49" fontId="7" fillId="19" borderId="36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14" fontId="7" fillId="19" borderId="36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49" fontId="7" fillId="19" borderId="39" xfId="0" applyNumberFormat="1" applyFont="1" applyFill="1" applyBorder="1" applyAlignment="1">
      <alignment/>
    </xf>
    <xf numFmtId="16" fontId="7" fillId="19" borderId="36" xfId="0" applyNumberFormat="1" applyFont="1" applyFill="1" applyBorder="1" applyAlignment="1">
      <alignment/>
    </xf>
    <xf numFmtId="0" fontId="10" fillId="16" borderId="40" xfId="0" applyFont="1" applyFill="1" applyBorder="1" applyAlignment="1">
      <alignment/>
    </xf>
    <xf numFmtId="0" fontId="10" fillId="16" borderId="41" xfId="0" applyFont="1" applyFill="1" applyBorder="1" applyAlignment="1">
      <alignment/>
    </xf>
    <xf numFmtId="3" fontId="10" fillId="16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44" xfId="0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35" xfId="0" applyFont="1" applyBorder="1" applyAlignment="1">
      <alignment/>
    </xf>
    <xf numFmtId="3" fontId="3" fillId="0" borderId="35" xfId="0" applyNumberFormat="1" applyFont="1" applyBorder="1" applyAlignment="1">
      <alignment/>
    </xf>
    <xf numFmtId="0" fontId="1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7" fillId="19" borderId="39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29" xfId="0" applyFont="1" applyBorder="1" applyAlignment="1">
      <alignment/>
    </xf>
    <xf numFmtId="0" fontId="10" fillId="16" borderId="47" xfId="0" applyFont="1" applyFill="1" applyBorder="1" applyAlignment="1">
      <alignment/>
    </xf>
    <xf numFmtId="0" fontId="7" fillId="19" borderId="48" xfId="0" applyFont="1" applyFill="1" applyBorder="1" applyAlignment="1">
      <alignment/>
    </xf>
    <xf numFmtId="0" fontId="1" fillId="0" borderId="49" xfId="0" applyFont="1" applyBorder="1" applyAlignment="1">
      <alignment horizontal="center"/>
    </xf>
    <xf numFmtId="0" fontId="10" fillId="16" borderId="50" xfId="0" applyFont="1" applyFill="1" applyBorder="1" applyAlignment="1">
      <alignment horizontal="center"/>
    </xf>
    <xf numFmtId="0" fontId="7" fillId="19" borderId="36" xfId="0" applyFont="1" applyFill="1" applyBorder="1" applyAlignment="1">
      <alignment/>
    </xf>
    <xf numFmtId="0" fontId="10" fillId="16" borderId="51" xfId="0" applyFont="1" applyFill="1" applyBorder="1" applyAlignment="1">
      <alignment/>
    </xf>
    <xf numFmtId="0" fontId="10" fillId="16" borderId="52" xfId="0" applyFont="1" applyFill="1" applyBorder="1" applyAlignment="1">
      <alignment horizontal="center"/>
    </xf>
    <xf numFmtId="0" fontId="10" fillId="16" borderId="41" xfId="0" applyFont="1" applyFill="1" applyBorder="1" applyAlignment="1">
      <alignment horizontal="center"/>
    </xf>
    <xf numFmtId="49" fontId="1" fillId="0" borderId="37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7" fillId="19" borderId="36" xfId="0" applyNumberFormat="1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1" fillId="0" borderId="39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54" xfId="0" applyBorder="1" applyAlignment="1">
      <alignment/>
    </xf>
    <xf numFmtId="49" fontId="7" fillId="19" borderId="55" xfId="0" applyNumberFormat="1" applyFont="1" applyFill="1" applyBorder="1" applyAlignment="1">
      <alignment vertical="center" wrapText="1"/>
    </xf>
    <xf numFmtId="3" fontId="7" fillId="19" borderId="56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/>
    </xf>
    <xf numFmtId="1" fontId="7" fillId="19" borderId="12" xfId="0" applyNumberFormat="1" applyFont="1" applyFill="1" applyBorder="1" applyAlignment="1">
      <alignment/>
    </xf>
    <xf numFmtId="0" fontId="9" fillId="19" borderId="50" xfId="0" applyFont="1" applyFill="1" applyBorder="1" applyAlignment="1">
      <alignment horizontal="center"/>
    </xf>
    <xf numFmtId="3" fontId="7" fillId="19" borderId="35" xfId="0" applyNumberFormat="1" applyFont="1" applyFill="1" applyBorder="1" applyAlignment="1">
      <alignment/>
    </xf>
    <xf numFmtId="3" fontId="7" fillId="19" borderId="12" xfId="0" applyNumberFormat="1" applyFont="1" applyFill="1" applyBorder="1" applyAlignment="1">
      <alignment/>
    </xf>
    <xf numFmtId="3" fontId="10" fillId="16" borderId="1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0" fillId="0" borderId="36" xfId="0" applyBorder="1" applyAlignment="1">
      <alignment/>
    </xf>
    <xf numFmtId="0" fontId="4" fillId="0" borderId="36" xfId="0" applyFont="1" applyBorder="1" applyAlignment="1">
      <alignment/>
    </xf>
    <xf numFmtId="0" fontId="0" fillId="0" borderId="57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58" xfId="0" applyBorder="1" applyAlignment="1">
      <alignment/>
    </xf>
    <xf numFmtId="3" fontId="0" fillId="0" borderId="18" xfId="0" applyNumberFormat="1" applyBorder="1" applyAlignment="1">
      <alignment/>
    </xf>
    <xf numFmtId="0" fontId="10" fillId="16" borderId="36" xfId="0" applyFont="1" applyFill="1" applyBorder="1" applyAlignment="1">
      <alignment horizontal="center"/>
    </xf>
    <xf numFmtId="0" fontId="7" fillId="19" borderId="53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19" borderId="59" xfId="0" applyFont="1" applyFill="1" applyBorder="1" applyAlignment="1">
      <alignment horizontal="center"/>
    </xf>
    <xf numFmtId="0" fontId="7" fillId="19" borderId="36" xfId="0" applyFont="1" applyFill="1" applyBorder="1" applyAlignment="1">
      <alignment horizontal="center"/>
    </xf>
    <xf numFmtId="0" fontId="7" fillId="19" borderId="39" xfId="0" applyFont="1" applyFill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10" fillId="16" borderId="39" xfId="0" applyFont="1" applyFill="1" applyBorder="1" applyAlignment="1">
      <alignment horizontal="center"/>
    </xf>
    <xf numFmtId="0" fontId="0" fillId="0" borderId="62" xfId="0" applyBorder="1" applyAlignment="1">
      <alignment/>
    </xf>
    <xf numFmtId="3" fontId="0" fillId="0" borderId="23" xfId="0" applyNumberForma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9" fillId="19" borderId="59" xfId="0" applyFont="1" applyFill="1" applyBorder="1" applyAlignment="1">
      <alignment/>
    </xf>
    <xf numFmtId="0" fontId="7" fillId="19" borderId="53" xfId="0" applyFont="1" applyFill="1" applyBorder="1" applyAlignment="1">
      <alignment vertical="center" wrapText="1"/>
    </xf>
    <xf numFmtId="3" fontId="9" fillId="19" borderId="10" xfId="0" applyNumberFormat="1" applyFont="1" applyFill="1" applyBorder="1" applyAlignment="1">
      <alignment vertical="center" wrapText="1"/>
    </xf>
    <xf numFmtId="3" fontId="10" fillId="16" borderId="12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9" fillId="19" borderId="36" xfId="0" applyFont="1" applyFill="1" applyBorder="1" applyAlignment="1">
      <alignment/>
    </xf>
    <xf numFmtId="49" fontId="7" fillId="19" borderId="37" xfId="0" applyNumberFormat="1" applyFont="1" applyFill="1" applyBorder="1" applyAlignment="1">
      <alignment/>
    </xf>
    <xf numFmtId="49" fontId="7" fillId="19" borderId="39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49" xfId="0" applyBorder="1" applyAlignment="1">
      <alignment/>
    </xf>
    <xf numFmtId="3" fontId="0" fillId="0" borderId="35" xfId="0" applyNumberFormat="1" applyBorder="1" applyAlignment="1">
      <alignment/>
    </xf>
    <xf numFmtId="0" fontId="13" fillId="19" borderId="40" xfId="0" applyFont="1" applyFill="1" applyBorder="1" applyAlignment="1">
      <alignment/>
    </xf>
    <xf numFmtId="3" fontId="13" fillId="19" borderId="4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7" fillId="19" borderId="36" xfId="0" applyNumberFormat="1" applyFont="1" applyFill="1" applyBorder="1" applyAlignment="1">
      <alignment horizontal="left"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8" fillId="0" borderId="37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3" fillId="0" borderId="6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4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16" borderId="41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49" fontId="7" fillId="0" borderId="37" xfId="0" applyNumberFormat="1" applyFont="1" applyFill="1" applyBorder="1" applyAlignment="1">
      <alignment/>
    </xf>
    <xf numFmtId="0" fontId="3" fillId="0" borderId="6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65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4" fontId="3" fillId="0" borderId="66" xfId="0" applyNumberFormat="1" applyFont="1" applyBorder="1" applyAlignment="1">
      <alignment/>
    </xf>
    <xf numFmtId="4" fontId="3" fillId="0" borderId="67" xfId="0" applyNumberFormat="1" applyFont="1" applyBorder="1" applyAlignment="1">
      <alignment/>
    </xf>
    <xf numFmtId="4" fontId="3" fillId="0" borderId="68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3" fontId="19" fillId="0" borderId="23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2" fillId="0" borderId="35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3" fillId="0" borderId="6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3" fontId="7" fillId="19" borderId="69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3" fontId="19" fillId="0" borderId="2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20" fillId="0" borderId="16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71" xfId="0" applyFont="1" applyFill="1" applyBorder="1" applyAlignment="1">
      <alignment horizontal="center"/>
    </xf>
    <xf numFmtId="0" fontId="3" fillId="0" borderId="70" xfId="0" applyFont="1" applyFill="1" applyBorder="1" applyAlignment="1">
      <alignment/>
    </xf>
    <xf numFmtId="4" fontId="0" fillId="0" borderId="0" xfId="0" applyNumberFormat="1" applyAlignment="1">
      <alignment/>
    </xf>
    <xf numFmtId="49" fontId="3" fillId="0" borderId="19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7" fillId="19" borderId="49" xfId="0" applyNumberFormat="1" applyFont="1" applyFill="1" applyBorder="1" applyAlignment="1">
      <alignment/>
    </xf>
    <xf numFmtId="3" fontId="1" fillId="0" borderId="7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3" fontId="3" fillId="0" borderId="68" xfId="0" applyNumberFormat="1" applyFont="1" applyBorder="1" applyAlignment="1">
      <alignment/>
    </xf>
    <xf numFmtId="3" fontId="10" fillId="16" borderId="56" xfId="0" applyNumberFormat="1" applyFont="1" applyFill="1" applyBorder="1" applyAlignment="1">
      <alignment/>
    </xf>
    <xf numFmtId="3" fontId="10" fillId="16" borderId="73" xfId="0" applyNumberFormat="1" applyFont="1" applyFill="1" applyBorder="1" applyAlignment="1">
      <alignment/>
    </xf>
    <xf numFmtId="3" fontId="3" fillId="0" borderId="74" xfId="0" applyNumberFormat="1" applyFont="1" applyBorder="1" applyAlignment="1">
      <alignment/>
    </xf>
    <xf numFmtId="3" fontId="7" fillId="19" borderId="75" xfId="0" applyNumberFormat="1" applyFont="1" applyFill="1" applyBorder="1" applyAlignment="1">
      <alignment/>
    </xf>
    <xf numFmtId="3" fontId="3" fillId="0" borderId="76" xfId="0" applyNumberFormat="1" applyFont="1" applyBorder="1" applyAlignment="1">
      <alignment/>
    </xf>
    <xf numFmtId="3" fontId="7" fillId="19" borderId="75" xfId="0" applyNumberFormat="1" applyFont="1" applyFill="1" applyBorder="1" applyAlignment="1">
      <alignment/>
    </xf>
    <xf numFmtId="3" fontId="1" fillId="0" borderId="75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10" fillId="16" borderId="75" xfId="0" applyNumberFormat="1" applyFont="1" applyFill="1" applyBorder="1" applyAlignment="1">
      <alignment/>
    </xf>
    <xf numFmtId="3" fontId="1" fillId="0" borderId="75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3" fontId="7" fillId="19" borderId="80" xfId="0" applyNumberFormat="1" applyFont="1" applyFill="1" applyBorder="1" applyAlignment="1">
      <alignment/>
    </xf>
    <xf numFmtId="3" fontId="3" fillId="0" borderId="75" xfId="0" applyNumberFormat="1" applyFont="1" applyBorder="1" applyAlignment="1">
      <alignment/>
    </xf>
    <xf numFmtId="3" fontId="7" fillId="19" borderId="80" xfId="0" applyNumberFormat="1" applyFont="1" applyFill="1" applyBorder="1" applyAlignment="1">
      <alignment/>
    </xf>
    <xf numFmtId="3" fontId="3" fillId="0" borderId="81" xfId="0" applyNumberFormat="1" applyFont="1" applyBorder="1" applyAlignment="1">
      <alignment/>
    </xf>
    <xf numFmtId="3" fontId="3" fillId="0" borderId="82" xfId="0" applyNumberFormat="1" applyFont="1" applyBorder="1" applyAlignment="1">
      <alignment/>
    </xf>
    <xf numFmtId="3" fontId="10" fillId="16" borderId="80" xfId="0" applyNumberFormat="1" applyFont="1" applyFill="1" applyBorder="1" applyAlignment="1">
      <alignment/>
    </xf>
    <xf numFmtId="3" fontId="1" fillId="0" borderId="76" xfId="0" applyNumberFormat="1" applyFont="1" applyBorder="1" applyAlignment="1">
      <alignment/>
    </xf>
    <xf numFmtId="3" fontId="3" fillId="0" borderId="83" xfId="0" applyNumberFormat="1" applyFont="1" applyBorder="1" applyAlignment="1">
      <alignment/>
    </xf>
    <xf numFmtId="3" fontId="10" fillId="16" borderId="84" xfId="0" applyNumberFormat="1" applyFont="1" applyFill="1" applyBorder="1" applyAlignment="1">
      <alignment/>
    </xf>
    <xf numFmtId="3" fontId="7" fillId="19" borderId="73" xfId="0" applyNumberFormat="1" applyFont="1" applyFill="1" applyBorder="1" applyAlignment="1">
      <alignment vertical="center" wrapText="1"/>
    </xf>
    <xf numFmtId="3" fontId="3" fillId="0" borderId="85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7" fillId="19" borderId="86" xfId="0" applyNumberFormat="1" applyFont="1" applyFill="1" applyBorder="1" applyAlignment="1">
      <alignment/>
    </xf>
    <xf numFmtId="3" fontId="3" fillId="0" borderId="81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3" fillId="0" borderId="81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14" fillId="0" borderId="85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88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7" fillId="19" borderId="83" xfId="0" applyNumberFormat="1" applyFont="1" applyFill="1" applyBorder="1" applyAlignment="1">
      <alignment/>
    </xf>
    <xf numFmtId="3" fontId="1" fillId="0" borderId="89" xfId="0" applyNumberFormat="1" applyFont="1" applyFill="1" applyBorder="1" applyAlignment="1">
      <alignment/>
    </xf>
    <xf numFmtId="3" fontId="1" fillId="0" borderId="75" xfId="0" applyNumberFormat="1" applyFont="1" applyFill="1" applyBorder="1" applyAlignment="1">
      <alignment/>
    </xf>
    <xf numFmtId="3" fontId="3" fillId="0" borderId="90" xfId="0" applyNumberFormat="1" applyFont="1" applyFill="1" applyBorder="1" applyAlignment="1">
      <alignment/>
    </xf>
    <xf numFmtId="3" fontId="1" fillId="0" borderId="75" xfId="0" applyNumberFormat="1" applyFont="1" applyFill="1" applyBorder="1" applyAlignment="1">
      <alignment/>
    </xf>
    <xf numFmtId="3" fontId="1" fillId="0" borderId="82" xfId="0" applyNumberFormat="1" applyFont="1" applyFill="1" applyBorder="1" applyAlignment="1">
      <alignment/>
    </xf>
    <xf numFmtId="3" fontId="9" fillId="19" borderId="76" xfId="0" applyNumberFormat="1" applyFont="1" applyFill="1" applyBorder="1" applyAlignment="1">
      <alignment vertical="center" wrapText="1"/>
    </xf>
    <xf numFmtId="3" fontId="2" fillId="0" borderId="83" xfId="0" applyNumberFormat="1" applyFont="1" applyFill="1" applyBorder="1" applyAlignment="1">
      <alignment vertical="center" wrapText="1"/>
    </xf>
    <xf numFmtId="3" fontId="0" fillId="0" borderId="81" xfId="0" applyNumberFormat="1" applyFont="1" applyFill="1" applyBorder="1" applyAlignment="1">
      <alignment vertical="center" wrapText="1"/>
    </xf>
    <xf numFmtId="3" fontId="0" fillId="0" borderId="68" xfId="0" applyNumberFormat="1" applyFont="1" applyFill="1" applyBorder="1" applyAlignment="1">
      <alignment vertical="center" wrapText="1"/>
    </xf>
    <xf numFmtId="4" fontId="1" fillId="0" borderId="75" xfId="0" applyNumberFormat="1" applyFont="1" applyBorder="1" applyAlignment="1">
      <alignment/>
    </xf>
    <xf numFmtId="4" fontId="3" fillId="0" borderId="74" xfId="0" applyNumberFormat="1" applyFont="1" applyBorder="1" applyAlignment="1">
      <alignment/>
    </xf>
    <xf numFmtId="3" fontId="7" fillId="19" borderId="83" xfId="0" applyNumberFormat="1" applyFont="1" applyFill="1" applyBorder="1" applyAlignment="1">
      <alignment/>
    </xf>
    <xf numFmtId="3" fontId="10" fillId="16" borderId="72" xfId="0" applyNumberFormat="1" applyFont="1" applyFill="1" applyBorder="1" applyAlignment="1">
      <alignment horizontal="right"/>
    </xf>
    <xf numFmtId="3" fontId="10" fillId="16" borderId="89" xfId="0" applyNumberFormat="1" applyFont="1" applyFill="1" applyBorder="1" applyAlignment="1">
      <alignment horizontal="right"/>
    </xf>
    <xf numFmtId="3" fontId="9" fillId="19" borderId="75" xfId="0" applyNumberFormat="1" applyFont="1" applyFill="1" applyBorder="1" applyAlignment="1">
      <alignment/>
    </xf>
    <xf numFmtId="4" fontId="1" fillId="0" borderId="81" xfId="0" applyNumberFormat="1" applyFont="1" applyBorder="1" applyAlignment="1">
      <alignment/>
    </xf>
    <xf numFmtId="4" fontId="3" fillId="0" borderId="76" xfId="0" applyNumberFormat="1" applyFont="1" applyBorder="1" applyAlignment="1">
      <alignment/>
    </xf>
    <xf numFmtId="3" fontId="1" fillId="0" borderId="80" xfId="0" applyNumberFormat="1" applyFont="1" applyBorder="1" applyAlignment="1">
      <alignment/>
    </xf>
    <xf numFmtId="3" fontId="1" fillId="16" borderId="84" xfId="0" applyNumberFormat="1" applyFont="1" applyFill="1" applyBorder="1" applyAlignment="1">
      <alignment/>
    </xf>
    <xf numFmtId="3" fontId="19" fillId="0" borderId="12" xfId="0" applyNumberFormat="1" applyFont="1" applyBorder="1" applyAlignment="1">
      <alignment/>
    </xf>
    <xf numFmtId="3" fontId="3" fillId="0" borderId="91" xfId="0" applyNumberFormat="1" applyFont="1" applyBorder="1" applyAlignment="1">
      <alignment/>
    </xf>
    <xf numFmtId="3" fontId="3" fillId="0" borderId="85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88" xfId="0" applyNumberFormat="1" applyFont="1" applyBorder="1" applyAlignment="1">
      <alignment/>
    </xf>
    <xf numFmtId="3" fontId="7" fillId="19" borderId="67" xfId="0" applyNumberFormat="1" applyFont="1" applyFill="1" applyBorder="1" applyAlignment="1">
      <alignment/>
    </xf>
    <xf numFmtId="3" fontId="3" fillId="0" borderId="67" xfId="0" applyNumberFormat="1" applyFont="1" applyBorder="1" applyAlignment="1">
      <alignment/>
    </xf>
    <xf numFmtId="3" fontId="7" fillId="19" borderId="86" xfId="0" applyNumberFormat="1" applyFont="1" applyFill="1" applyBorder="1" applyAlignment="1">
      <alignment/>
    </xf>
    <xf numFmtId="3" fontId="3" fillId="0" borderId="91" xfId="0" applyNumberFormat="1" applyFont="1" applyFill="1" applyBorder="1" applyAlignment="1">
      <alignment/>
    </xf>
    <xf numFmtId="3" fontId="3" fillId="0" borderId="92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10" fillId="16" borderId="93" xfId="0" applyNumberFormat="1" applyFont="1" applyFill="1" applyBorder="1" applyAlignment="1">
      <alignment/>
    </xf>
    <xf numFmtId="3" fontId="0" fillId="0" borderId="74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2" fillId="0" borderId="83" xfId="0" applyNumberFormat="1" applyFont="1" applyBorder="1" applyAlignment="1">
      <alignment/>
    </xf>
    <xf numFmtId="3" fontId="0" fillId="0" borderId="75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2" fillId="0" borderId="75" xfId="0" applyNumberFormat="1" applyFont="1" applyBorder="1" applyAlignment="1">
      <alignment/>
    </xf>
    <xf numFmtId="3" fontId="0" fillId="0" borderId="83" xfId="0" applyNumberFormat="1" applyBorder="1" applyAlignment="1">
      <alignment/>
    </xf>
    <xf numFmtId="3" fontId="13" fillId="19" borderId="84" xfId="0" applyNumberFormat="1" applyFont="1" applyFill="1" applyBorder="1" applyAlignment="1">
      <alignment/>
    </xf>
    <xf numFmtId="3" fontId="9" fillId="19" borderId="10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12" fillId="16" borderId="54" xfId="0" applyFont="1" applyFill="1" applyBorder="1" applyAlignment="1">
      <alignment horizontal="center" vertical="center"/>
    </xf>
    <xf numFmtId="0" fontId="12" fillId="16" borderId="56" xfId="0" applyFont="1" applyFill="1" applyBorder="1" applyAlignment="1">
      <alignment horizontal="center" vertical="center"/>
    </xf>
    <xf numFmtId="0" fontId="12" fillId="16" borderId="78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2" fillId="16" borderId="55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7" fillId="19" borderId="24" xfId="0" applyFont="1" applyFill="1" applyBorder="1" applyAlignment="1">
      <alignment horizontal="left"/>
    </xf>
    <xf numFmtId="3" fontId="1" fillId="16" borderId="73" xfId="0" applyNumberFormat="1" applyFont="1" applyFill="1" applyBorder="1" applyAlignment="1">
      <alignment horizontal="center" vertical="center" wrapText="1"/>
    </xf>
    <xf numFmtId="3" fontId="1" fillId="16" borderId="79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19" borderId="25" xfId="0" applyFont="1" applyFill="1" applyBorder="1" applyAlignment="1">
      <alignment horizontal="left"/>
    </xf>
    <xf numFmtId="0" fontId="7" fillId="19" borderId="69" xfId="0" applyFont="1" applyFill="1" applyBorder="1" applyAlignment="1">
      <alignment horizontal="left"/>
    </xf>
    <xf numFmtId="0" fontId="12" fillId="16" borderId="56" xfId="0" applyFont="1" applyFill="1" applyBorder="1" applyAlignment="1">
      <alignment horizontal="center" vertical="center" wrapText="1"/>
    </xf>
    <xf numFmtId="0" fontId="12" fillId="16" borderId="78" xfId="0" applyFont="1" applyFill="1" applyBorder="1" applyAlignment="1">
      <alignment horizontal="center" vertical="center" wrapText="1"/>
    </xf>
    <xf numFmtId="0" fontId="1" fillId="16" borderId="94" xfId="0" applyFont="1" applyFill="1" applyBorder="1" applyAlignment="1">
      <alignment horizontal="center" vertical="center"/>
    </xf>
    <xf numFmtId="0" fontId="1" fillId="16" borderId="95" xfId="0" applyFont="1" applyFill="1" applyBorder="1" applyAlignment="1">
      <alignment horizontal="center" vertical="center"/>
    </xf>
    <xf numFmtId="0" fontId="1" fillId="16" borderId="56" xfId="0" applyFont="1" applyFill="1" applyBorder="1" applyAlignment="1">
      <alignment horizontal="center" vertical="center" wrapText="1"/>
    </xf>
    <xf numFmtId="0" fontId="1" fillId="16" borderId="7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96" xfId="0" applyFont="1" applyBorder="1" applyAlignment="1">
      <alignment horizontal="left"/>
    </xf>
    <xf numFmtId="0" fontId="12" fillId="16" borderId="55" xfId="0" applyFont="1" applyFill="1" applyBorder="1" applyAlignment="1">
      <alignment horizontal="center" vertical="center" wrapText="1"/>
    </xf>
    <xf numFmtId="0" fontId="12" fillId="16" borderId="54" xfId="0" applyFont="1" applyFill="1" applyBorder="1" applyAlignment="1">
      <alignment horizontal="center" vertical="center" wrapText="1"/>
    </xf>
    <xf numFmtId="0" fontId="1" fillId="0" borderId="9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0" fillId="16" borderId="71" xfId="0" applyFont="1" applyFill="1" applyBorder="1" applyAlignment="1">
      <alignment horizontal="left"/>
    </xf>
    <xf numFmtId="0" fontId="10" fillId="16" borderId="70" xfId="0" applyFont="1" applyFill="1" applyBorder="1" applyAlignment="1">
      <alignment horizontal="left"/>
    </xf>
    <xf numFmtId="0" fontId="7" fillId="19" borderId="25" xfId="0" applyFont="1" applyFill="1" applyBorder="1" applyAlignment="1">
      <alignment horizontal="left"/>
    </xf>
    <xf numFmtId="0" fontId="7" fillId="19" borderId="69" xfId="0" applyFont="1" applyFill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0" fillId="16" borderId="25" xfId="0" applyFont="1" applyFill="1" applyBorder="1" applyAlignment="1">
      <alignment horizontal="left"/>
    </xf>
    <xf numFmtId="0" fontId="10" fillId="16" borderId="69" xfId="0" applyFont="1" applyFill="1" applyBorder="1" applyAlignment="1">
      <alignment horizontal="left"/>
    </xf>
    <xf numFmtId="0" fontId="10" fillId="16" borderId="25" xfId="0" applyFont="1" applyFill="1" applyBorder="1" applyAlignment="1">
      <alignment horizontal="left"/>
    </xf>
    <xf numFmtId="0" fontId="10" fillId="16" borderId="69" xfId="0" applyFont="1" applyFill="1" applyBorder="1" applyAlignment="1">
      <alignment horizontal="left"/>
    </xf>
    <xf numFmtId="0" fontId="7" fillId="19" borderId="71" xfId="0" applyFont="1" applyFill="1" applyBorder="1" applyAlignment="1">
      <alignment horizontal="left"/>
    </xf>
    <xf numFmtId="0" fontId="7" fillId="19" borderId="70" xfId="0" applyFont="1" applyFill="1" applyBorder="1" applyAlignment="1">
      <alignment horizontal="left"/>
    </xf>
    <xf numFmtId="0" fontId="10" fillId="16" borderId="98" xfId="0" applyFont="1" applyFill="1" applyBorder="1" applyAlignment="1">
      <alignment horizontal="left"/>
    </xf>
    <xf numFmtId="0" fontId="10" fillId="16" borderId="99" xfId="0" applyFont="1" applyFill="1" applyBorder="1" applyAlignment="1">
      <alignment horizontal="left"/>
    </xf>
    <xf numFmtId="0" fontId="10" fillId="16" borderId="100" xfId="0" applyFont="1" applyFill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19" borderId="71" xfId="0" applyFont="1" applyFill="1" applyBorder="1" applyAlignment="1">
      <alignment horizontal="left" vertical="center" wrapText="1"/>
    </xf>
    <xf numFmtId="0" fontId="7" fillId="19" borderId="70" xfId="0" applyFont="1" applyFill="1" applyBorder="1" applyAlignment="1">
      <alignment horizontal="left" vertical="center" wrapText="1"/>
    </xf>
    <xf numFmtId="16" fontId="1" fillId="0" borderId="96" xfId="0" applyNumberFormat="1" applyFont="1" applyFill="1" applyBorder="1" applyAlignment="1">
      <alignment horizontal="left"/>
    </xf>
    <xf numFmtId="49" fontId="6" fillId="16" borderId="55" xfId="0" applyNumberFormat="1" applyFont="1" applyFill="1" applyBorder="1" applyAlignment="1">
      <alignment horizontal="center" vertical="center" wrapText="1"/>
    </xf>
    <xf numFmtId="49" fontId="6" fillId="16" borderId="54" xfId="0" applyNumberFormat="1" applyFont="1" applyFill="1" applyBorder="1" applyAlignment="1">
      <alignment horizontal="center" vertical="center" wrapText="1"/>
    </xf>
    <xf numFmtId="16" fontId="1" fillId="16" borderId="56" xfId="0" applyNumberFormat="1" applyFont="1" applyFill="1" applyBorder="1" applyAlignment="1">
      <alignment horizontal="center" vertical="center" wrapText="1"/>
    </xf>
    <xf numFmtId="16" fontId="1" fillId="16" borderId="78" xfId="0" applyNumberFormat="1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/>
    </xf>
    <xf numFmtId="0" fontId="1" fillId="16" borderId="78" xfId="0" applyFont="1" applyFill="1" applyBorder="1" applyAlignment="1">
      <alignment horizontal="center" vertical="center"/>
    </xf>
    <xf numFmtId="0" fontId="7" fillId="19" borderId="102" xfId="0" applyFont="1" applyFill="1" applyBorder="1" applyAlignment="1">
      <alignment horizontal="left" vertical="center" wrapText="1"/>
    </xf>
    <xf numFmtId="0" fontId="7" fillId="19" borderId="10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49" fontId="7" fillId="19" borderId="71" xfId="0" applyNumberFormat="1" applyFont="1" applyFill="1" applyBorder="1" applyAlignment="1">
      <alignment horizontal="left"/>
    </xf>
    <xf numFmtId="49" fontId="7" fillId="19" borderId="70" xfId="0" applyNumberFormat="1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left"/>
    </xf>
    <xf numFmtId="16" fontId="7" fillId="0" borderId="49" xfId="0" applyNumberFormat="1" applyFont="1" applyFill="1" applyBorder="1" applyAlignment="1">
      <alignment horizontal="center"/>
    </xf>
    <xf numFmtId="16" fontId="7" fillId="0" borderId="37" xfId="0" applyNumberFormat="1" applyFont="1" applyFill="1" applyBorder="1" applyAlignment="1">
      <alignment horizontal="center"/>
    </xf>
    <xf numFmtId="16" fontId="7" fillId="0" borderId="39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1" fillId="0" borderId="102" xfId="0" applyFont="1" applyFill="1" applyBorder="1" applyAlignment="1">
      <alignment horizontal="left"/>
    </xf>
    <xf numFmtId="0" fontId="1" fillId="0" borderId="10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7" fillId="19" borderId="45" xfId="0" applyFont="1" applyFill="1" applyBorder="1" applyAlignment="1">
      <alignment horizontal="left"/>
    </xf>
    <xf numFmtId="0" fontId="7" fillId="19" borderId="104" xfId="0" applyFont="1" applyFill="1" applyBorder="1" applyAlignment="1">
      <alignment horizontal="left"/>
    </xf>
    <xf numFmtId="49" fontId="7" fillId="19" borderId="25" xfId="0" applyNumberFormat="1" applyFont="1" applyFill="1" applyBorder="1" applyAlignment="1">
      <alignment horizontal="left"/>
    </xf>
    <xf numFmtId="49" fontId="7" fillId="19" borderId="69" xfId="0" applyNumberFormat="1" applyFont="1" applyFill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3" fontId="1" fillId="16" borderId="105" xfId="0" applyNumberFormat="1" applyFont="1" applyFill="1" applyBorder="1" applyAlignment="1">
      <alignment horizontal="center" vertical="center" wrapText="1"/>
    </xf>
    <xf numFmtId="16" fontId="1" fillId="0" borderId="96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49" fontId="7" fillId="19" borderId="11" xfId="0" applyNumberFormat="1" applyFont="1" applyFill="1" applyBorder="1" applyAlignment="1">
      <alignment horizontal="left"/>
    </xf>
    <xf numFmtId="0" fontId="10" fillId="16" borderId="40" xfId="0" applyFont="1" applyFill="1" applyBorder="1" applyAlignment="1">
      <alignment horizontal="left"/>
    </xf>
    <xf numFmtId="0" fontId="10" fillId="16" borderId="41" xfId="0" applyFont="1" applyFill="1" applyBorder="1" applyAlignment="1">
      <alignment horizontal="left"/>
    </xf>
    <xf numFmtId="49" fontId="1" fillId="0" borderId="4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7" fillId="19" borderId="11" xfId="0" applyFont="1" applyFill="1" applyBorder="1" applyAlignment="1">
      <alignment horizontal="left"/>
    </xf>
    <xf numFmtId="0" fontId="7" fillId="19" borderId="11" xfId="0" applyFont="1" applyFill="1" applyBorder="1" applyAlignment="1">
      <alignment horizontal="left"/>
    </xf>
    <xf numFmtId="0" fontId="7" fillId="19" borderId="12" xfId="0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101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0" fontId="1" fillId="0" borderId="71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16" borderId="98" xfId="0" applyFont="1" applyFill="1" applyBorder="1" applyAlignment="1">
      <alignment horizontal="left"/>
    </xf>
    <xf numFmtId="0" fontId="1" fillId="16" borderId="99" xfId="0" applyFont="1" applyFill="1" applyBorder="1" applyAlignment="1">
      <alignment horizontal="left"/>
    </xf>
    <xf numFmtId="0" fontId="1" fillId="16" borderId="10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96" xfId="0" applyBorder="1" applyAlignment="1">
      <alignment horizontal="center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  <xf numFmtId="0" fontId="1" fillId="16" borderId="73" xfId="0" applyFont="1" applyFill="1" applyBorder="1" applyAlignment="1">
      <alignment horizontal="center" vertical="center" wrapText="1"/>
    </xf>
    <xf numFmtId="0" fontId="1" fillId="16" borderId="79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3" fontId="1" fillId="16" borderId="10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K128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.421875" style="0" customWidth="1"/>
    <col min="2" max="2" width="8.140625" style="128" customWidth="1"/>
    <col min="3" max="3" width="8.140625" style="0" customWidth="1"/>
    <col min="4" max="4" width="36.00390625" style="0" customWidth="1"/>
    <col min="5" max="6" width="12.140625" style="44" customWidth="1"/>
    <col min="7" max="7" width="11.7109375" style="0" customWidth="1"/>
    <col min="8" max="8" width="37.140625" style="0" customWidth="1"/>
  </cols>
  <sheetData>
    <row r="1" spans="2:6" ht="12.75">
      <c r="B1" s="424" t="s">
        <v>272</v>
      </c>
      <c r="C1" s="424"/>
      <c r="D1" s="424"/>
      <c r="E1" s="424"/>
      <c r="F1" s="307"/>
    </row>
    <row r="2" spans="2:6" ht="13.5" thickBot="1">
      <c r="B2" s="425" t="s">
        <v>81</v>
      </c>
      <c r="C2" s="425"/>
      <c r="D2" s="425"/>
      <c r="E2" s="425"/>
      <c r="F2" s="307"/>
    </row>
    <row r="3" spans="2:7" ht="13.5" customHeight="1" thickTop="1">
      <c r="B3" s="426" t="s">
        <v>118</v>
      </c>
      <c r="C3" s="418" t="s">
        <v>64</v>
      </c>
      <c r="D3" s="422" t="s">
        <v>133</v>
      </c>
      <c r="E3" s="422" t="s">
        <v>334</v>
      </c>
      <c r="F3" s="422" t="s">
        <v>401</v>
      </c>
      <c r="G3" s="408" t="s">
        <v>402</v>
      </c>
    </row>
    <row r="4" spans="2:7" ht="35.25" customHeight="1" thickBot="1">
      <c r="B4" s="427"/>
      <c r="C4" s="419"/>
      <c r="D4" s="423"/>
      <c r="E4" s="423"/>
      <c r="F4" s="423"/>
      <c r="G4" s="409"/>
    </row>
    <row r="5" spans="2:7" s="68" customFormat="1" ht="17.25" thickBot="1" thickTop="1">
      <c r="B5" s="213">
        <v>100</v>
      </c>
      <c r="C5" s="431" t="s">
        <v>83</v>
      </c>
      <c r="D5" s="432"/>
      <c r="E5" s="312">
        <f>E6+E8+E13</f>
        <v>4854649</v>
      </c>
      <c r="F5" s="312">
        <f>F6+F8+F13</f>
        <v>5227579</v>
      </c>
      <c r="G5" s="313">
        <f>G6+G8+G13</f>
        <v>5516306</v>
      </c>
    </row>
    <row r="6" spans="2:7" s="67" customFormat="1" ht="15.75" thickBot="1">
      <c r="B6" s="206">
        <v>110</v>
      </c>
      <c r="C6" s="433" t="s">
        <v>84</v>
      </c>
      <c r="D6" s="434"/>
      <c r="E6" s="41">
        <f>E7</f>
        <v>4243649</v>
      </c>
      <c r="F6" s="41">
        <f>F7</f>
        <v>4604359</v>
      </c>
      <c r="G6" s="315">
        <f>G7</f>
        <v>4880621</v>
      </c>
    </row>
    <row r="7" spans="2:8" s="57" customFormat="1" ht="13.5" thickBot="1">
      <c r="B7" s="207"/>
      <c r="C7" s="56"/>
      <c r="D7" s="77" t="s">
        <v>119</v>
      </c>
      <c r="E7" s="1">
        <v>4243649</v>
      </c>
      <c r="F7" s="1">
        <f>ROUND(E7*1.085,)</f>
        <v>4604359</v>
      </c>
      <c r="G7" s="316">
        <f>ROUND(F7*1.06,)</f>
        <v>4880621</v>
      </c>
      <c r="H7" s="263"/>
    </row>
    <row r="8" spans="2:7" s="67" customFormat="1" ht="15.75" thickBot="1">
      <c r="B8" s="208">
        <v>120</v>
      </c>
      <c r="C8" s="416" t="s">
        <v>123</v>
      </c>
      <c r="D8" s="417"/>
      <c r="E8" s="94">
        <f>E9</f>
        <v>331950</v>
      </c>
      <c r="F8" s="94">
        <f>F9</f>
        <v>338589</v>
      </c>
      <c r="G8" s="317">
        <f>G9</f>
        <v>345361</v>
      </c>
    </row>
    <row r="9" spans="2:7" s="5" customFormat="1" ht="13.5" thickBot="1">
      <c r="B9" s="428"/>
      <c r="C9" s="56">
        <v>121</v>
      </c>
      <c r="D9" s="50" t="s">
        <v>85</v>
      </c>
      <c r="E9" s="78">
        <f>SUM(E10:E12)</f>
        <v>331950</v>
      </c>
      <c r="F9" s="78">
        <f>SUM(F10:F12)</f>
        <v>338589</v>
      </c>
      <c r="G9" s="318">
        <f>SUM(G10:G12)</f>
        <v>345361</v>
      </c>
    </row>
    <row r="10" spans="2:7" ht="12.75">
      <c r="B10" s="429"/>
      <c r="C10" s="410"/>
      <c r="D10" s="53" t="s">
        <v>120</v>
      </c>
      <c r="E10" s="64">
        <v>57430</v>
      </c>
      <c r="F10" s="76">
        <f aca="true" t="shared" si="0" ref="F10:G12">ROUND(E10*1.02,)</f>
        <v>58579</v>
      </c>
      <c r="G10" s="314">
        <f t="shared" si="0"/>
        <v>59751</v>
      </c>
    </row>
    <row r="11" spans="2:7" ht="12.75">
      <c r="B11" s="429"/>
      <c r="C11" s="411"/>
      <c r="D11" s="54" t="s">
        <v>121</v>
      </c>
      <c r="E11" s="65">
        <v>254600</v>
      </c>
      <c r="F11" s="61">
        <f t="shared" si="0"/>
        <v>259692</v>
      </c>
      <c r="G11" s="311">
        <f t="shared" si="0"/>
        <v>264886</v>
      </c>
    </row>
    <row r="12" spans="2:7" ht="13.5" thickBot="1">
      <c r="B12" s="430"/>
      <c r="C12" s="412"/>
      <c r="D12" s="55" t="s">
        <v>122</v>
      </c>
      <c r="E12" s="319">
        <v>19920</v>
      </c>
      <c r="F12" s="101">
        <f t="shared" si="0"/>
        <v>20318</v>
      </c>
      <c r="G12" s="320">
        <f t="shared" si="0"/>
        <v>20724</v>
      </c>
    </row>
    <row r="13" spans="2:7" s="67" customFormat="1" ht="15.75" thickBot="1">
      <c r="B13" s="209">
        <v>130</v>
      </c>
      <c r="C13" s="416" t="s">
        <v>124</v>
      </c>
      <c r="D13" s="417"/>
      <c r="E13" s="94">
        <f>E14</f>
        <v>279050</v>
      </c>
      <c r="F13" s="94">
        <f>F14</f>
        <v>284631</v>
      </c>
      <c r="G13" s="317">
        <f>G14</f>
        <v>290324</v>
      </c>
    </row>
    <row r="14" spans="2:7" s="5" customFormat="1" ht="13.5" thickBot="1">
      <c r="B14" s="435"/>
      <c r="C14" s="71">
        <v>133</v>
      </c>
      <c r="D14" s="51" t="s">
        <v>86</v>
      </c>
      <c r="E14" s="78">
        <f>SUM(E15:E21)</f>
        <v>279050</v>
      </c>
      <c r="F14" s="78">
        <f>SUM(F15:F21)</f>
        <v>284631</v>
      </c>
      <c r="G14" s="318">
        <f>SUM(G15:G21)</f>
        <v>290324</v>
      </c>
    </row>
    <row r="15" spans="2:7" ht="12.75">
      <c r="B15" s="436"/>
      <c r="C15" s="413"/>
      <c r="D15" s="58" t="s">
        <v>87</v>
      </c>
      <c r="E15" s="76">
        <v>7600</v>
      </c>
      <c r="F15" s="76">
        <f aca="true" t="shared" si="1" ref="F15:G21">ROUND(E15*1.02,)</f>
        <v>7752</v>
      </c>
      <c r="G15" s="314">
        <f t="shared" si="1"/>
        <v>7907</v>
      </c>
    </row>
    <row r="16" spans="2:7" ht="12.75">
      <c r="B16" s="436"/>
      <c r="C16" s="414"/>
      <c r="D16" s="60" t="s">
        <v>88</v>
      </c>
      <c r="E16" s="61">
        <v>1300</v>
      </c>
      <c r="F16" s="61">
        <f t="shared" si="1"/>
        <v>1326</v>
      </c>
      <c r="G16" s="311">
        <f t="shared" si="1"/>
        <v>1353</v>
      </c>
    </row>
    <row r="17" spans="2:7" ht="12.75">
      <c r="B17" s="436"/>
      <c r="C17" s="414"/>
      <c r="D17" s="60" t="s">
        <v>89</v>
      </c>
      <c r="E17" s="61">
        <v>700</v>
      </c>
      <c r="F17" s="61">
        <f t="shared" si="1"/>
        <v>714</v>
      </c>
      <c r="G17" s="311">
        <f t="shared" si="1"/>
        <v>728</v>
      </c>
    </row>
    <row r="18" spans="2:7" ht="12.75">
      <c r="B18" s="436"/>
      <c r="C18" s="414"/>
      <c r="D18" s="60" t="s">
        <v>90</v>
      </c>
      <c r="E18" s="61">
        <v>12500</v>
      </c>
      <c r="F18" s="61">
        <f t="shared" si="1"/>
        <v>12750</v>
      </c>
      <c r="G18" s="311">
        <f t="shared" si="1"/>
        <v>13005</v>
      </c>
    </row>
    <row r="19" spans="2:7" ht="12.75">
      <c r="B19" s="436"/>
      <c r="C19" s="414"/>
      <c r="D19" s="60" t="s">
        <v>287</v>
      </c>
      <c r="E19" s="61">
        <v>8000</v>
      </c>
      <c r="F19" s="61">
        <f t="shared" si="1"/>
        <v>8160</v>
      </c>
      <c r="G19" s="311">
        <f t="shared" si="1"/>
        <v>8323</v>
      </c>
    </row>
    <row r="20" spans="2:9" ht="12.75">
      <c r="B20" s="436"/>
      <c r="C20" s="414"/>
      <c r="D20" s="60" t="s">
        <v>91</v>
      </c>
      <c r="E20" s="61">
        <v>165970</v>
      </c>
      <c r="F20" s="61">
        <f t="shared" si="1"/>
        <v>169289</v>
      </c>
      <c r="G20" s="311">
        <f t="shared" si="1"/>
        <v>172675</v>
      </c>
      <c r="H20" s="44"/>
      <c r="I20" s="44"/>
    </row>
    <row r="21" spans="2:8" ht="13.5" thickBot="1">
      <c r="B21" s="436"/>
      <c r="C21" s="414"/>
      <c r="D21" s="60" t="s">
        <v>92</v>
      </c>
      <c r="E21" s="101">
        <v>82980</v>
      </c>
      <c r="F21" s="101">
        <f t="shared" si="1"/>
        <v>84640</v>
      </c>
      <c r="G21" s="320">
        <f t="shared" si="1"/>
        <v>86333</v>
      </c>
      <c r="H21" s="44"/>
    </row>
    <row r="22" spans="2:7" s="68" customFormat="1" ht="16.5" thickBot="1">
      <c r="B22" s="205">
        <v>200</v>
      </c>
      <c r="C22" s="437" t="s">
        <v>125</v>
      </c>
      <c r="D22" s="438"/>
      <c r="E22" s="92">
        <f>E23+E33+E48+E50</f>
        <v>984434</v>
      </c>
      <c r="F22" s="92">
        <f>F23+F33+F48+F50</f>
        <v>1004783</v>
      </c>
      <c r="G22" s="321">
        <f>G23+G33+G48+G50</f>
        <v>1024879</v>
      </c>
    </row>
    <row r="23" spans="2:9" s="49" customFormat="1" ht="15.75" thickBot="1">
      <c r="B23" s="210">
        <v>210</v>
      </c>
      <c r="C23" s="433" t="s">
        <v>126</v>
      </c>
      <c r="D23" s="407"/>
      <c r="E23" s="41">
        <f>E24+E28</f>
        <v>702877</v>
      </c>
      <c r="F23" s="41">
        <f>F24+F28</f>
        <v>717595</v>
      </c>
      <c r="G23" s="315">
        <f>G24+G28</f>
        <v>731947</v>
      </c>
      <c r="I23" s="69"/>
    </row>
    <row r="24" spans="2:9" s="57" customFormat="1" ht="13.5" thickBot="1">
      <c r="B24" s="435" t="s">
        <v>93</v>
      </c>
      <c r="C24" s="56">
        <v>211</v>
      </c>
      <c r="D24" s="52" t="s">
        <v>126</v>
      </c>
      <c r="E24" s="78">
        <f>SUM(E25:E27)</f>
        <v>67460</v>
      </c>
      <c r="F24" s="78">
        <f>SUM(F25:F27)</f>
        <v>69469</v>
      </c>
      <c r="G24" s="318">
        <f>SUM(G25:G27)</f>
        <v>70859</v>
      </c>
      <c r="I24" s="70"/>
    </row>
    <row r="25" spans="2:7" ht="12.75">
      <c r="B25" s="436"/>
      <c r="C25" s="410"/>
      <c r="D25" s="75" t="s">
        <v>94</v>
      </c>
      <c r="E25" s="76">
        <v>1460</v>
      </c>
      <c r="F25" s="76">
        <f aca="true" t="shared" si="2" ref="F25:G27">ROUND(E25*1.02,)</f>
        <v>1489</v>
      </c>
      <c r="G25" s="314">
        <f t="shared" si="2"/>
        <v>1519</v>
      </c>
    </row>
    <row r="26" spans="2:9" ht="12.75">
      <c r="B26" s="436"/>
      <c r="C26" s="411"/>
      <c r="D26" s="60" t="s">
        <v>306</v>
      </c>
      <c r="E26" s="61"/>
      <c r="F26" s="61">
        <f t="shared" si="2"/>
        <v>0</v>
      </c>
      <c r="G26" s="311">
        <f t="shared" si="2"/>
        <v>0</v>
      </c>
      <c r="I26" s="280"/>
    </row>
    <row r="27" spans="2:7" ht="13.5" thickBot="1">
      <c r="B27" s="436"/>
      <c r="C27" s="412"/>
      <c r="D27" s="62" t="s">
        <v>95</v>
      </c>
      <c r="E27" s="101">
        <v>66000</v>
      </c>
      <c r="F27" s="101">
        <f>ROUND(E27*1.03,)</f>
        <v>67980</v>
      </c>
      <c r="G27" s="320">
        <f t="shared" si="2"/>
        <v>69340</v>
      </c>
    </row>
    <row r="28" spans="2:9" ht="13.5" thickBot="1">
      <c r="B28" s="436"/>
      <c r="C28" s="2">
        <v>212</v>
      </c>
      <c r="D28" s="45" t="s">
        <v>96</v>
      </c>
      <c r="E28" s="3">
        <f>SUM(E29:E32)</f>
        <v>635417</v>
      </c>
      <c r="F28" s="3">
        <f>SUM(F29:F32)</f>
        <v>648126</v>
      </c>
      <c r="G28" s="322">
        <f>SUM(G29:G32)</f>
        <v>661088</v>
      </c>
      <c r="I28" s="44"/>
    </row>
    <row r="29" spans="2:7" ht="12.75">
      <c r="B29" s="436"/>
      <c r="C29" s="413"/>
      <c r="D29" s="73" t="s">
        <v>97</v>
      </c>
      <c r="E29" s="76">
        <v>232400</v>
      </c>
      <c r="F29" s="76">
        <f aca="true" t="shared" si="3" ref="F29:G32">ROUND(E29*1.02,)</f>
        <v>237048</v>
      </c>
      <c r="G29" s="314">
        <f t="shared" si="3"/>
        <v>241789</v>
      </c>
    </row>
    <row r="30" spans="2:9" ht="12.75">
      <c r="B30" s="436"/>
      <c r="C30" s="414"/>
      <c r="D30" s="74" t="s">
        <v>98</v>
      </c>
      <c r="E30" s="61">
        <v>6000</v>
      </c>
      <c r="F30" s="61">
        <f t="shared" si="3"/>
        <v>6120</v>
      </c>
      <c r="G30" s="311">
        <f t="shared" si="3"/>
        <v>6242</v>
      </c>
      <c r="I30" s="44"/>
    </row>
    <row r="31" spans="2:7" ht="12.75">
      <c r="B31" s="436"/>
      <c r="C31" s="414"/>
      <c r="D31" s="253" t="s">
        <v>289</v>
      </c>
      <c r="E31" s="61">
        <v>321090</v>
      </c>
      <c r="F31" s="61">
        <f t="shared" si="3"/>
        <v>327512</v>
      </c>
      <c r="G31" s="311">
        <f t="shared" si="3"/>
        <v>334062</v>
      </c>
    </row>
    <row r="32" spans="2:7" ht="13.5" thickBot="1">
      <c r="B32" s="406"/>
      <c r="C32" s="415"/>
      <c r="D32" s="244" t="s">
        <v>99</v>
      </c>
      <c r="E32" s="101">
        <v>75927</v>
      </c>
      <c r="F32" s="101">
        <f t="shared" si="3"/>
        <v>77446</v>
      </c>
      <c r="G32" s="320">
        <f t="shared" si="3"/>
        <v>78995</v>
      </c>
    </row>
    <row r="33" spans="2:7" s="49" customFormat="1" ht="15.75" thickBot="1">
      <c r="B33" s="209">
        <v>220</v>
      </c>
      <c r="C33" s="433" t="s">
        <v>100</v>
      </c>
      <c r="D33" s="407"/>
      <c r="E33" s="41">
        <f>E34+E37+E43</f>
        <v>251707</v>
      </c>
      <c r="F33" s="41">
        <f>F34+F37+F43</f>
        <v>256741</v>
      </c>
      <c r="G33" s="315">
        <f>G34+G37+G43</f>
        <v>261876</v>
      </c>
    </row>
    <row r="34" spans="2:7" s="57" customFormat="1" ht="13.5" thickBot="1">
      <c r="B34" s="435"/>
      <c r="C34" s="2">
        <v>221</v>
      </c>
      <c r="D34" s="47" t="s">
        <v>127</v>
      </c>
      <c r="E34" s="3">
        <f>SUM(E35:E36)</f>
        <v>99600</v>
      </c>
      <c r="F34" s="3">
        <f>SUM(F35:F36)</f>
        <v>101592</v>
      </c>
      <c r="G34" s="322">
        <f>SUM(G35:G36)</f>
        <v>103624</v>
      </c>
    </row>
    <row r="35" spans="2:7" ht="12.75">
      <c r="B35" s="436"/>
      <c r="C35" s="413"/>
      <c r="D35" s="58" t="s">
        <v>101</v>
      </c>
      <c r="E35" s="76">
        <v>99600</v>
      </c>
      <c r="F35" s="76">
        <f>ROUND(E35*1.02,)</f>
        <v>101592</v>
      </c>
      <c r="G35" s="314">
        <f>ROUND(F35*1.02,)</f>
        <v>103624</v>
      </c>
    </row>
    <row r="36" spans="2:7" ht="13.5" thickBot="1">
      <c r="B36" s="436"/>
      <c r="C36" s="415"/>
      <c r="D36" s="62" t="s">
        <v>102</v>
      </c>
      <c r="E36" s="101"/>
      <c r="F36" s="101"/>
      <c r="G36" s="320"/>
    </row>
    <row r="37" spans="2:9" ht="13.5" thickBot="1">
      <c r="B37" s="436"/>
      <c r="C37" s="2">
        <v>223</v>
      </c>
      <c r="D37" s="45" t="s">
        <v>103</v>
      </c>
      <c r="E37" s="3">
        <f>SUM(E38:E42)</f>
        <v>149607</v>
      </c>
      <c r="F37" s="3">
        <f>SUM(F38:F42)</f>
        <v>152599</v>
      </c>
      <c r="G37" s="322">
        <f>SUM(G38:G42)</f>
        <v>155651</v>
      </c>
      <c r="I37" s="44"/>
    </row>
    <row r="38" spans="2:7" ht="12.75">
      <c r="B38" s="436"/>
      <c r="C38" s="413"/>
      <c r="D38" s="58" t="s">
        <v>104</v>
      </c>
      <c r="E38" s="76">
        <v>9960</v>
      </c>
      <c r="F38" s="76">
        <f aca="true" t="shared" si="4" ref="F38:G42">ROUND(E38*1.02,)</f>
        <v>10159</v>
      </c>
      <c r="G38" s="314">
        <f t="shared" si="4"/>
        <v>10362</v>
      </c>
    </row>
    <row r="39" spans="2:7" ht="12.75">
      <c r="B39" s="436"/>
      <c r="C39" s="414"/>
      <c r="D39" s="60" t="s">
        <v>105</v>
      </c>
      <c r="E39" s="61">
        <v>16600</v>
      </c>
      <c r="F39" s="61">
        <f t="shared" si="4"/>
        <v>16932</v>
      </c>
      <c r="G39" s="311">
        <f t="shared" si="4"/>
        <v>17271</v>
      </c>
    </row>
    <row r="40" spans="2:7" ht="12.75">
      <c r="B40" s="436"/>
      <c r="C40" s="414"/>
      <c r="D40" s="60" t="s">
        <v>106</v>
      </c>
      <c r="E40" s="61">
        <v>18260</v>
      </c>
      <c r="F40" s="61">
        <f t="shared" si="4"/>
        <v>18625</v>
      </c>
      <c r="G40" s="311">
        <f t="shared" si="4"/>
        <v>18998</v>
      </c>
    </row>
    <row r="41" spans="2:7" ht="12.75">
      <c r="B41" s="436"/>
      <c r="C41" s="414"/>
      <c r="D41" s="60" t="s">
        <v>107</v>
      </c>
      <c r="E41" s="61">
        <v>16930</v>
      </c>
      <c r="F41" s="61">
        <f t="shared" si="4"/>
        <v>17269</v>
      </c>
      <c r="G41" s="311">
        <f t="shared" si="4"/>
        <v>17614</v>
      </c>
    </row>
    <row r="42" spans="2:8" ht="13.5" thickBot="1">
      <c r="B42" s="436"/>
      <c r="C42" s="415"/>
      <c r="D42" s="88" t="s">
        <v>108</v>
      </c>
      <c r="E42" s="34">
        <f>87557+300</f>
        <v>87857</v>
      </c>
      <c r="F42" s="101">
        <f t="shared" si="4"/>
        <v>89614</v>
      </c>
      <c r="G42" s="320">
        <f t="shared" si="4"/>
        <v>91406</v>
      </c>
      <c r="H42" s="44"/>
    </row>
    <row r="43" spans="2:9" ht="13.5" thickBot="1">
      <c r="B43" s="436"/>
      <c r="C43" s="2">
        <v>229</v>
      </c>
      <c r="D43" s="45" t="s">
        <v>109</v>
      </c>
      <c r="E43" s="3">
        <f>E44</f>
        <v>2500</v>
      </c>
      <c r="F43" s="3">
        <f>F44</f>
        <v>2550</v>
      </c>
      <c r="G43" s="322">
        <f>G44</f>
        <v>2601</v>
      </c>
      <c r="I43" s="44"/>
    </row>
    <row r="44" spans="2:7" ht="13.5" thickBot="1">
      <c r="B44" s="404"/>
      <c r="C44" s="211"/>
      <c r="D44" s="212" t="s">
        <v>110</v>
      </c>
      <c r="E44" s="323">
        <v>2500</v>
      </c>
      <c r="F44" s="323">
        <f>ROUND(E44*1.02,)</f>
        <v>2550</v>
      </c>
      <c r="G44" s="324">
        <f>ROUND(F44*1.02,)</f>
        <v>2601</v>
      </c>
    </row>
    <row r="45" spans="2:6" ht="14.25" thickBot="1" thickTop="1">
      <c r="B45" s="116"/>
      <c r="C45" s="43"/>
      <c r="D45" s="43"/>
      <c r="E45" s="117"/>
      <c r="F45" s="117"/>
    </row>
    <row r="46" spans="2:7" ht="13.5" customHeight="1" thickTop="1">
      <c r="B46" s="405" t="s">
        <v>118</v>
      </c>
      <c r="C46" s="402" t="s">
        <v>64</v>
      </c>
      <c r="D46" s="420" t="s">
        <v>82</v>
      </c>
      <c r="E46" s="422" t="s">
        <v>334</v>
      </c>
      <c r="F46" s="422" t="s">
        <v>401</v>
      </c>
      <c r="G46" s="408" t="s">
        <v>402</v>
      </c>
    </row>
    <row r="47" spans="2:7" ht="30" customHeight="1" thickBot="1">
      <c r="B47" s="401"/>
      <c r="C47" s="403"/>
      <c r="D47" s="421"/>
      <c r="E47" s="423"/>
      <c r="F47" s="423"/>
      <c r="G47" s="409"/>
    </row>
    <row r="48" spans="2:7" s="49" customFormat="1" ht="16.5" thickBot="1" thickTop="1">
      <c r="B48" s="208">
        <v>240</v>
      </c>
      <c r="C48" s="441" t="s">
        <v>111</v>
      </c>
      <c r="D48" s="442"/>
      <c r="E48" s="102">
        <f>SUM(E49:E49)</f>
        <v>1660</v>
      </c>
      <c r="F48" s="102">
        <f>SUM(F49:F49)</f>
        <v>1693</v>
      </c>
      <c r="G48" s="325">
        <f>SUM(G49:G49)</f>
        <v>1727</v>
      </c>
    </row>
    <row r="49" spans="2:7" ht="13.5" customHeight="1" thickBot="1">
      <c r="B49" s="305"/>
      <c r="C49" s="306"/>
      <c r="D49" s="255" t="s">
        <v>112</v>
      </c>
      <c r="E49" s="46">
        <v>1660</v>
      </c>
      <c r="F49" s="248">
        <f>ROUND(E49*1.02,)</f>
        <v>1693</v>
      </c>
      <c r="G49" s="326">
        <f>ROUND(F49*1.02,)</f>
        <v>1727</v>
      </c>
    </row>
    <row r="50" spans="2:7" s="67" customFormat="1" ht="15.75" thickBot="1">
      <c r="B50" s="208">
        <v>290</v>
      </c>
      <c r="C50" s="416" t="s">
        <v>113</v>
      </c>
      <c r="D50" s="417"/>
      <c r="E50" s="190">
        <f>E51</f>
        <v>28190</v>
      </c>
      <c r="F50" s="190">
        <f>F51</f>
        <v>28754</v>
      </c>
      <c r="G50" s="327">
        <f>G51</f>
        <v>29329</v>
      </c>
    </row>
    <row r="51" spans="2:9" ht="13.5" thickBot="1">
      <c r="B51" s="435"/>
      <c r="C51" s="47">
        <v>292</v>
      </c>
      <c r="D51" s="47" t="s">
        <v>113</v>
      </c>
      <c r="E51" s="3">
        <f>SUM(E52:E55)</f>
        <v>28190</v>
      </c>
      <c r="F51" s="3">
        <f>SUM(F52:F55)</f>
        <v>28754</v>
      </c>
      <c r="G51" s="322">
        <f>SUM(G52:G55)</f>
        <v>29329</v>
      </c>
      <c r="I51" s="44"/>
    </row>
    <row r="52" spans="2:9" ht="12.75">
      <c r="B52" s="436"/>
      <c r="C52" s="410"/>
      <c r="D52" s="84" t="s">
        <v>356</v>
      </c>
      <c r="E52" s="82">
        <v>11000</v>
      </c>
      <c r="F52" s="59">
        <f aca="true" t="shared" si="5" ref="F52:G55">ROUND(E52*1.02,)</f>
        <v>11220</v>
      </c>
      <c r="G52" s="328">
        <f t="shared" si="5"/>
        <v>11444</v>
      </c>
      <c r="I52" s="44"/>
    </row>
    <row r="53" spans="2:9" ht="12.75">
      <c r="B53" s="436"/>
      <c r="C53" s="411"/>
      <c r="D53" s="87" t="s">
        <v>113</v>
      </c>
      <c r="E53" s="64"/>
      <c r="F53" s="61">
        <f t="shared" si="5"/>
        <v>0</v>
      </c>
      <c r="G53" s="311">
        <f t="shared" si="5"/>
        <v>0</v>
      </c>
      <c r="I53" s="44"/>
    </row>
    <row r="54" spans="2:7" ht="12.75">
      <c r="B54" s="436"/>
      <c r="C54" s="411"/>
      <c r="D54" s="54" t="s">
        <v>114</v>
      </c>
      <c r="E54" s="65">
        <v>1900</v>
      </c>
      <c r="F54" s="61">
        <f t="shared" si="5"/>
        <v>1938</v>
      </c>
      <c r="G54" s="311">
        <f t="shared" si="5"/>
        <v>1977</v>
      </c>
    </row>
    <row r="55" spans="2:7" ht="13.5" thickBot="1">
      <c r="B55" s="406"/>
      <c r="C55" s="411"/>
      <c r="D55" s="54" t="s">
        <v>286</v>
      </c>
      <c r="E55" s="66">
        <v>15290</v>
      </c>
      <c r="F55" s="63">
        <f t="shared" si="5"/>
        <v>15596</v>
      </c>
      <c r="G55" s="329">
        <f t="shared" si="5"/>
        <v>15908</v>
      </c>
    </row>
    <row r="56" spans="2:7" s="85" customFormat="1" ht="16.5" thickBot="1">
      <c r="B56" s="213">
        <v>300</v>
      </c>
      <c r="C56" s="439" t="s">
        <v>128</v>
      </c>
      <c r="D56" s="440"/>
      <c r="E56" s="191">
        <f>E57+E95</f>
        <v>2234789</v>
      </c>
      <c r="F56" s="191">
        <f>F57+F95</f>
        <v>2132033</v>
      </c>
      <c r="G56" s="330">
        <f>G57+G95</f>
        <v>2173273</v>
      </c>
    </row>
    <row r="57" spans="2:9" ht="15.75" thickBot="1">
      <c r="B57" s="209">
        <v>310</v>
      </c>
      <c r="C57" s="433" t="s">
        <v>129</v>
      </c>
      <c r="D57" s="434"/>
      <c r="E57" s="41">
        <f>E58+E70</f>
        <v>2200068</v>
      </c>
      <c r="F57" s="41">
        <f>F58+F70</f>
        <v>2096618</v>
      </c>
      <c r="G57" s="315">
        <f>G58+G70</f>
        <v>2138550</v>
      </c>
      <c r="I57" s="44"/>
    </row>
    <row r="58" spans="2:9" ht="13.5" thickBot="1">
      <c r="B58" s="435"/>
      <c r="C58" s="6">
        <v>311</v>
      </c>
      <c r="D58" s="2" t="s">
        <v>130</v>
      </c>
      <c r="E58" s="192">
        <f>SUM(E59:E69)</f>
        <v>5000</v>
      </c>
      <c r="F58" s="192">
        <f>SUM(F59:F69)</f>
        <v>5100</v>
      </c>
      <c r="G58" s="331">
        <f>SUM(G59:G69)</f>
        <v>5202</v>
      </c>
      <c r="I58" s="44"/>
    </row>
    <row r="59" spans="2:11" ht="12.75">
      <c r="B59" s="436"/>
      <c r="C59" s="413"/>
      <c r="D59" s="79" t="s">
        <v>115</v>
      </c>
      <c r="E59" s="59"/>
      <c r="F59" s="59">
        <f aca="true" t="shared" si="6" ref="F59:F69">ROUND(E59*1.02,)</f>
        <v>0</v>
      </c>
      <c r="G59" s="328"/>
      <c r="K59" s="44"/>
    </row>
    <row r="60" spans="2:7" ht="12.75">
      <c r="B60" s="436"/>
      <c r="C60" s="414"/>
      <c r="D60" s="80" t="s">
        <v>335</v>
      </c>
      <c r="E60" s="61"/>
      <c r="F60" s="61">
        <f t="shared" si="6"/>
        <v>0</v>
      </c>
      <c r="G60" s="311"/>
    </row>
    <row r="61" spans="2:7" ht="12.75">
      <c r="B61" s="436"/>
      <c r="C61" s="414"/>
      <c r="D61" s="80" t="s">
        <v>276</v>
      </c>
      <c r="E61" s="61"/>
      <c r="F61" s="61">
        <f t="shared" si="6"/>
        <v>0</v>
      </c>
      <c r="G61" s="311"/>
    </row>
    <row r="62" spans="2:7" ht="12.75">
      <c r="B62" s="436"/>
      <c r="C62" s="414"/>
      <c r="D62" s="80" t="s">
        <v>336</v>
      </c>
      <c r="E62" s="61"/>
      <c r="F62" s="61">
        <f t="shared" si="6"/>
        <v>0</v>
      </c>
      <c r="G62" s="311"/>
    </row>
    <row r="63" spans="2:7" ht="12.75">
      <c r="B63" s="436"/>
      <c r="C63" s="414"/>
      <c r="D63" s="80" t="s">
        <v>337</v>
      </c>
      <c r="E63" s="61"/>
      <c r="F63" s="61">
        <f t="shared" si="6"/>
        <v>0</v>
      </c>
      <c r="G63" s="311"/>
    </row>
    <row r="64" spans="2:7" ht="12.75">
      <c r="B64" s="436"/>
      <c r="C64" s="414"/>
      <c r="D64" s="80" t="s">
        <v>275</v>
      </c>
      <c r="E64" s="61"/>
      <c r="F64" s="61">
        <f t="shared" si="6"/>
        <v>0</v>
      </c>
      <c r="G64" s="311"/>
    </row>
    <row r="65" spans="2:7" ht="12.75">
      <c r="B65" s="436"/>
      <c r="C65" s="414"/>
      <c r="D65" s="80" t="s">
        <v>220</v>
      </c>
      <c r="E65" s="61"/>
      <c r="F65" s="61">
        <f t="shared" si="6"/>
        <v>0</v>
      </c>
      <c r="G65" s="311"/>
    </row>
    <row r="66" spans="2:7" ht="12.75">
      <c r="B66" s="436"/>
      <c r="C66" s="414"/>
      <c r="D66" s="80" t="s">
        <v>221</v>
      </c>
      <c r="E66" s="61"/>
      <c r="F66" s="61">
        <f t="shared" si="6"/>
        <v>0</v>
      </c>
      <c r="G66" s="311"/>
    </row>
    <row r="67" spans="2:7" ht="12.75">
      <c r="B67" s="436"/>
      <c r="C67" s="414"/>
      <c r="D67" s="80" t="s">
        <v>338</v>
      </c>
      <c r="E67" s="61"/>
      <c r="F67" s="61">
        <f t="shared" si="6"/>
        <v>0</v>
      </c>
      <c r="G67" s="311"/>
    </row>
    <row r="68" spans="2:7" ht="12.75">
      <c r="B68" s="436"/>
      <c r="C68" s="414"/>
      <c r="D68" s="80" t="s">
        <v>339</v>
      </c>
      <c r="E68" s="61"/>
      <c r="F68" s="61">
        <f t="shared" si="6"/>
        <v>0</v>
      </c>
      <c r="G68" s="311"/>
    </row>
    <row r="69" spans="2:7" ht="13.5" thickBot="1">
      <c r="B69" s="436"/>
      <c r="C69" s="415"/>
      <c r="D69" s="254" t="s">
        <v>191</v>
      </c>
      <c r="E69" s="250">
        <v>5000</v>
      </c>
      <c r="F69" s="63">
        <f t="shared" si="6"/>
        <v>5100</v>
      </c>
      <c r="G69" s="329">
        <f>ROUND(F69*1.02,)</f>
        <v>5202</v>
      </c>
    </row>
    <row r="70" spans="2:7" ht="13.5" thickBot="1">
      <c r="B70" s="436"/>
      <c r="C70" s="56">
        <v>312</v>
      </c>
      <c r="D70" s="56" t="s">
        <v>131</v>
      </c>
      <c r="E70" s="78">
        <f>SUM(E71:E94)</f>
        <v>2195068</v>
      </c>
      <c r="F70" s="78">
        <f>SUM(F71:F94)</f>
        <v>2091518</v>
      </c>
      <c r="G70" s="318">
        <f>SUM(G71:G94)</f>
        <v>2133348</v>
      </c>
    </row>
    <row r="71" spans="2:7" ht="12.75">
      <c r="B71" s="436"/>
      <c r="C71" s="446"/>
      <c r="D71" s="79" t="s">
        <v>183</v>
      </c>
      <c r="E71" s="59">
        <v>18490</v>
      </c>
      <c r="F71" s="59">
        <f aca="true" t="shared" si="7" ref="F71:G94">ROUND(E71*1.02,)</f>
        <v>18860</v>
      </c>
      <c r="G71" s="328">
        <f t="shared" si="7"/>
        <v>19237</v>
      </c>
    </row>
    <row r="72" spans="2:8" ht="12.75">
      <c r="B72" s="436"/>
      <c r="C72" s="447"/>
      <c r="D72" s="80" t="s">
        <v>184</v>
      </c>
      <c r="E72" s="61">
        <v>1800000</v>
      </c>
      <c r="F72" s="61">
        <f>ROUND(E72*1.04,)</f>
        <v>1872000</v>
      </c>
      <c r="G72" s="311">
        <f t="shared" si="7"/>
        <v>1909440</v>
      </c>
      <c r="H72" s="44"/>
    </row>
    <row r="73" spans="2:7" ht="12.75">
      <c r="B73" s="436"/>
      <c r="C73" s="447"/>
      <c r="D73" s="80" t="s">
        <v>185</v>
      </c>
      <c r="E73" s="61">
        <v>15470</v>
      </c>
      <c r="F73" s="61">
        <f aca="true" t="shared" si="8" ref="F73:F83">ROUND(E73*1.04,)</f>
        <v>16089</v>
      </c>
      <c r="G73" s="311">
        <f t="shared" si="7"/>
        <v>16411</v>
      </c>
    </row>
    <row r="74" spans="2:7" ht="12.75">
      <c r="B74" s="436"/>
      <c r="C74" s="447"/>
      <c r="D74" s="80" t="s">
        <v>186</v>
      </c>
      <c r="E74" s="61">
        <v>17590</v>
      </c>
      <c r="F74" s="61">
        <f t="shared" si="8"/>
        <v>18294</v>
      </c>
      <c r="G74" s="311">
        <f t="shared" si="7"/>
        <v>18660</v>
      </c>
    </row>
    <row r="75" spans="2:7" ht="12.75">
      <c r="B75" s="436"/>
      <c r="C75" s="447"/>
      <c r="D75" s="80" t="s">
        <v>187</v>
      </c>
      <c r="E75" s="61">
        <v>6670</v>
      </c>
      <c r="F75" s="61">
        <f t="shared" si="8"/>
        <v>6937</v>
      </c>
      <c r="G75" s="311">
        <f t="shared" si="7"/>
        <v>7076</v>
      </c>
    </row>
    <row r="76" spans="2:7" ht="12.75">
      <c r="B76" s="436"/>
      <c r="C76" s="447"/>
      <c r="D76" s="80" t="s">
        <v>188</v>
      </c>
      <c r="E76" s="61">
        <v>6310</v>
      </c>
      <c r="F76" s="61">
        <f t="shared" si="8"/>
        <v>6562</v>
      </c>
      <c r="G76" s="311">
        <f t="shared" si="7"/>
        <v>6693</v>
      </c>
    </row>
    <row r="77" spans="2:7" ht="12.75">
      <c r="B77" s="436"/>
      <c r="C77" s="447"/>
      <c r="D77" s="80" t="s">
        <v>189</v>
      </c>
      <c r="E77" s="61">
        <v>53100</v>
      </c>
      <c r="F77" s="61">
        <f t="shared" si="8"/>
        <v>55224</v>
      </c>
      <c r="G77" s="311">
        <f t="shared" si="7"/>
        <v>56328</v>
      </c>
    </row>
    <row r="78" spans="2:7" s="223" customFormat="1" ht="12.75">
      <c r="B78" s="436"/>
      <c r="C78" s="447"/>
      <c r="D78" s="80" t="s">
        <v>190</v>
      </c>
      <c r="E78" s="61">
        <v>31200</v>
      </c>
      <c r="F78" s="61">
        <f t="shared" si="8"/>
        <v>32448</v>
      </c>
      <c r="G78" s="311">
        <f t="shared" si="7"/>
        <v>33097</v>
      </c>
    </row>
    <row r="79" spans="2:7" ht="12.75">
      <c r="B79" s="436"/>
      <c r="C79" s="447"/>
      <c r="D79" s="80" t="s">
        <v>217</v>
      </c>
      <c r="E79" s="61"/>
      <c r="F79" s="61">
        <f t="shared" si="8"/>
        <v>0</v>
      </c>
      <c r="G79" s="311">
        <f t="shared" si="7"/>
        <v>0</v>
      </c>
    </row>
    <row r="80" spans="2:7" ht="12.75">
      <c r="B80" s="436"/>
      <c r="C80" s="447"/>
      <c r="D80" s="80" t="s">
        <v>196</v>
      </c>
      <c r="E80" s="61">
        <v>54800</v>
      </c>
      <c r="F80" s="61">
        <f t="shared" si="8"/>
        <v>56992</v>
      </c>
      <c r="G80" s="311">
        <f t="shared" si="7"/>
        <v>58132</v>
      </c>
    </row>
    <row r="81" spans="2:10" ht="12.75">
      <c r="B81" s="436"/>
      <c r="C81" s="447"/>
      <c r="D81" s="80" t="s">
        <v>233</v>
      </c>
      <c r="E81" s="61">
        <v>830</v>
      </c>
      <c r="F81" s="61">
        <f t="shared" si="8"/>
        <v>863</v>
      </c>
      <c r="G81" s="311">
        <f t="shared" si="7"/>
        <v>880</v>
      </c>
      <c r="I81" s="44"/>
      <c r="J81" s="44"/>
    </row>
    <row r="82" spans="2:7" ht="12.75">
      <c r="B82" s="436"/>
      <c r="C82" s="447"/>
      <c r="D82" s="80" t="s">
        <v>218</v>
      </c>
      <c r="E82" s="61">
        <v>1990</v>
      </c>
      <c r="F82" s="61">
        <f t="shared" si="8"/>
        <v>2070</v>
      </c>
      <c r="G82" s="311">
        <f t="shared" si="7"/>
        <v>2111</v>
      </c>
    </row>
    <row r="83" spans="2:7" ht="12.75">
      <c r="B83" s="436"/>
      <c r="C83" s="447"/>
      <c r="D83" s="80" t="s">
        <v>213</v>
      </c>
      <c r="E83" s="61">
        <v>4980</v>
      </c>
      <c r="F83" s="61">
        <f t="shared" si="8"/>
        <v>5179</v>
      </c>
      <c r="G83" s="311">
        <f t="shared" si="7"/>
        <v>5283</v>
      </c>
    </row>
    <row r="84" spans="2:7" ht="12.75">
      <c r="B84" s="436"/>
      <c r="C84" s="447"/>
      <c r="D84" s="80" t="s">
        <v>340</v>
      </c>
      <c r="E84" s="61"/>
      <c r="F84" s="61">
        <f t="shared" si="7"/>
        <v>0</v>
      </c>
      <c r="G84" s="311">
        <f t="shared" si="7"/>
        <v>0</v>
      </c>
    </row>
    <row r="85" spans="2:7" ht="12.75">
      <c r="B85" s="436"/>
      <c r="C85" s="447"/>
      <c r="D85" s="80" t="s">
        <v>341</v>
      </c>
      <c r="E85" s="61"/>
      <c r="F85" s="61">
        <f t="shared" si="7"/>
        <v>0</v>
      </c>
      <c r="G85" s="311">
        <f t="shared" si="7"/>
        <v>0</v>
      </c>
    </row>
    <row r="86" spans="2:7" ht="12.75">
      <c r="B86" s="436"/>
      <c r="C86" s="447"/>
      <c r="D86" s="80" t="s">
        <v>342</v>
      </c>
      <c r="E86" s="61"/>
      <c r="F86" s="61">
        <f t="shared" si="7"/>
        <v>0</v>
      </c>
      <c r="G86" s="311">
        <f t="shared" si="7"/>
        <v>0</v>
      </c>
    </row>
    <row r="87" spans="2:7" ht="12.75">
      <c r="B87" s="436"/>
      <c r="C87" s="447"/>
      <c r="D87" s="80" t="s">
        <v>300</v>
      </c>
      <c r="E87" s="61"/>
      <c r="F87" s="61">
        <f t="shared" si="7"/>
        <v>0</v>
      </c>
      <c r="G87" s="311">
        <f t="shared" si="7"/>
        <v>0</v>
      </c>
    </row>
    <row r="88" spans="2:7" ht="12.75">
      <c r="B88" s="436"/>
      <c r="C88" s="447"/>
      <c r="D88" s="80" t="s">
        <v>370</v>
      </c>
      <c r="E88" s="61">
        <v>13743</v>
      </c>
      <c r="F88" s="61"/>
      <c r="G88" s="311">
        <f t="shared" si="7"/>
        <v>0</v>
      </c>
    </row>
    <row r="89" spans="2:7" ht="12.75">
      <c r="B89" s="436"/>
      <c r="C89" s="447"/>
      <c r="D89" s="80" t="s">
        <v>372</v>
      </c>
      <c r="E89" s="61">
        <v>2518</v>
      </c>
      <c r="F89" s="61"/>
      <c r="G89" s="311">
        <f t="shared" si="7"/>
        <v>0</v>
      </c>
    </row>
    <row r="90" spans="2:7" ht="12.75">
      <c r="B90" s="436"/>
      <c r="C90" s="447"/>
      <c r="D90" s="80" t="s">
        <v>376</v>
      </c>
      <c r="E90" s="61">
        <v>28850</v>
      </c>
      <c r="F90" s="61"/>
      <c r="G90" s="311">
        <f t="shared" si="7"/>
        <v>0</v>
      </c>
    </row>
    <row r="91" spans="2:7" ht="12.75">
      <c r="B91" s="436"/>
      <c r="C91" s="447"/>
      <c r="D91" s="80" t="s">
        <v>375</v>
      </c>
      <c r="E91" s="61">
        <v>22986</v>
      </c>
      <c r="F91" s="61"/>
      <c r="G91" s="311">
        <f t="shared" si="7"/>
        <v>0</v>
      </c>
    </row>
    <row r="92" spans="2:7" ht="12.75">
      <c r="B92" s="436"/>
      <c r="C92" s="447"/>
      <c r="D92" s="80" t="s">
        <v>378</v>
      </c>
      <c r="E92" s="61">
        <v>106041</v>
      </c>
      <c r="F92" s="61"/>
      <c r="G92" s="311">
        <f t="shared" si="7"/>
        <v>0</v>
      </c>
    </row>
    <row r="93" spans="2:7" ht="12.75">
      <c r="B93" s="436"/>
      <c r="C93" s="447"/>
      <c r="D93" s="80" t="s">
        <v>369</v>
      </c>
      <c r="E93" s="61">
        <v>9500</v>
      </c>
      <c r="F93" s="61"/>
      <c r="G93" s="311">
        <f t="shared" si="7"/>
        <v>0</v>
      </c>
    </row>
    <row r="94" spans="2:7" ht="13.5" thickBot="1">
      <c r="B94" s="436"/>
      <c r="C94" s="447"/>
      <c r="D94" s="80" t="s">
        <v>343</v>
      </c>
      <c r="E94" s="61"/>
      <c r="F94" s="63">
        <f t="shared" si="7"/>
        <v>0</v>
      </c>
      <c r="G94" s="329">
        <f t="shared" si="7"/>
        <v>0</v>
      </c>
    </row>
    <row r="95" spans="2:7" s="67" customFormat="1" ht="15.75" thickBot="1">
      <c r="B95" s="209">
        <v>330</v>
      </c>
      <c r="C95" s="433" t="s">
        <v>116</v>
      </c>
      <c r="D95" s="434"/>
      <c r="E95" s="41">
        <f aca="true" t="shared" si="9" ref="E95:G96">E96</f>
        <v>34721</v>
      </c>
      <c r="F95" s="41">
        <f t="shared" si="9"/>
        <v>35415</v>
      </c>
      <c r="G95" s="315">
        <f t="shared" si="9"/>
        <v>34723</v>
      </c>
    </row>
    <row r="96" spans="2:7" s="5" customFormat="1" ht="13.5" thickBot="1">
      <c r="B96" s="435"/>
      <c r="C96" s="2">
        <v>331</v>
      </c>
      <c r="D96" s="47" t="s">
        <v>132</v>
      </c>
      <c r="E96" s="3">
        <f t="shared" si="9"/>
        <v>34721</v>
      </c>
      <c r="F96" s="3">
        <f t="shared" si="9"/>
        <v>35415</v>
      </c>
      <c r="G96" s="322">
        <f t="shared" si="9"/>
        <v>34723</v>
      </c>
    </row>
    <row r="97" spans="2:7" ht="13.5" thickBot="1">
      <c r="B97" s="436"/>
      <c r="C97" s="115"/>
      <c r="D97" s="124" t="s">
        <v>353</v>
      </c>
      <c r="E97" s="126">
        <v>34721</v>
      </c>
      <c r="F97" s="248">
        <f>ROUND(E97*1.02,)</f>
        <v>35415</v>
      </c>
      <c r="G97" s="332">
        <v>34723</v>
      </c>
    </row>
    <row r="98" spans="2:9" s="68" customFormat="1" ht="17.25" thickBot="1" thickTop="1">
      <c r="B98" s="443" t="s">
        <v>117</v>
      </c>
      <c r="C98" s="444"/>
      <c r="D98" s="445"/>
      <c r="E98" s="113">
        <f>E5+E22+E56</f>
        <v>8073872</v>
      </c>
      <c r="F98" s="113">
        <f>F5+F22+F56</f>
        <v>8364395</v>
      </c>
      <c r="G98" s="333">
        <f>G5+G22+G56</f>
        <v>8714458</v>
      </c>
      <c r="I98" s="72"/>
    </row>
    <row r="99" ht="13.5" thickTop="1"/>
    <row r="100" ht="12.75">
      <c r="G100" s="44"/>
    </row>
    <row r="101" ht="12.75">
      <c r="G101" s="44"/>
    </row>
    <row r="102" ht="12.75">
      <c r="G102" s="44"/>
    </row>
    <row r="128" spans="2:6" ht="12.75">
      <c r="B128" s="129"/>
      <c r="C128" s="48"/>
      <c r="D128" s="48"/>
      <c r="E128" s="193"/>
      <c r="F128" s="193"/>
    </row>
  </sheetData>
  <sheetProtection/>
  <mergeCells count="43">
    <mergeCell ref="B98:D98"/>
    <mergeCell ref="B96:B97"/>
    <mergeCell ref="C59:C69"/>
    <mergeCell ref="C71:C94"/>
    <mergeCell ref="B58:B94"/>
    <mergeCell ref="C95:D95"/>
    <mergeCell ref="B46:B47"/>
    <mergeCell ref="F3:F4"/>
    <mergeCell ref="F46:F47"/>
    <mergeCell ref="C57:D57"/>
    <mergeCell ref="C46:C47"/>
    <mergeCell ref="B51:B55"/>
    <mergeCell ref="C56:D56"/>
    <mergeCell ref="C48:D48"/>
    <mergeCell ref="C50:D50"/>
    <mergeCell ref="C52:C55"/>
    <mergeCell ref="B14:B21"/>
    <mergeCell ref="C22:D22"/>
    <mergeCell ref="C23:D23"/>
    <mergeCell ref="C38:C42"/>
    <mergeCell ref="C35:C36"/>
    <mergeCell ref="C33:D33"/>
    <mergeCell ref="B24:B32"/>
    <mergeCell ref="B34:B44"/>
    <mergeCell ref="B1:E1"/>
    <mergeCell ref="B2:E2"/>
    <mergeCell ref="B3:B4"/>
    <mergeCell ref="B9:B12"/>
    <mergeCell ref="D3:D4"/>
    <mergeCell ref="C5:D5"/>
    <mergeCell ref="E3:E4"/>
    <mergeCell ref="C6:D6"/>
    <mergeCell ref="C8:D8"/>
    <mergeCell ref="G3:G4"/>
    <mergeCell ref="G46:G47"/>
    <mergeCell ref="C25:C27"/>
    <mergeCell ref="C10:C12"/>
    <mergeCell ref="C29:C32"/>
    <mergeCell ref="C15:C21"/>
    <mergeCell ref="C13:D13"/>
    <mergeCell ref="C3:C4"/>
    <mergeCell ref="D46:D47"/>
    <mergeCell ref="E46:E47"/>
  </mergeCells>
  <printOptions/>
  <pageMargins left="0.38" right="0.24" top="1.07" bottom="0.4" header="0.41" footer="0.4"/>
  <pageSetup horizontalDpi="300" verticalDpi="300" orientation="portrait" paperSize="9" scale="83" r:id="rId1"/>
  <headerFooter alignWithMargins="0">
    <oddHeader xml:space="preserve">&amp;RPrílohač.4  Tabuľková časť rozpočtu </oddHeader>
    <oddFooter>&amp;C&amp;P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173"/>
  <sheetViews>
    <sheetView showGridLines="0" workbookViewId="0" topLeftCell="A145">
      <selection activeCell="E165" sqref="E165"/>
    </sheetView>
  </sheetViews>
  <sheetFormatPr defaultColWidth="9.140625" defaultRowHeight="12.75"/>
  <cols>
    <col min="1" max="1" width="1.57421875" style="8" customWidth="1"/>
    <col min="2" max="2" width="10.140625" style="8" customWidth="1"/>
    <col min="3" max="3" width="10.8515625" style="154" customWidth="1"/>
    <col min="4" max="4" width="27.7109375" style="8" customWidth="1"/>
    <col min="5" max="5" width="13.140625" style="233" customWidth="1"/>
    <col min="6" max="6" width="13.140625" style="8" customWidth="1"/>
    <col min="7" max="7" width="11.57421875" style="8" customWidth="1"/>
    <col min="8" max="8" width="11.00390625" style="8" customWidth="1"/>
    <col min="9" max="9" width="9.140625" style="8" customWidth="1"/>
    <col min="10" max="10" width="9.7109375" style="8" bestFit="1" customWidth="1"/>
    <col min="11" max="16384" width="9.140625" style="8" customWidth="1"/>
  </cols>
  <sheetData>
    <row r="1" spans="2:7" ht="13.5" thickBot="1">
      <c r="B1" s="464" t="s">
        <v>0</v>
      </c>
      <c r="C1" s="464"/>
      <c r="D1" s="464"/>
      <c r="E1" s="464"/>
      <c r="F1" s="464"/>
      <c r="G1" s="464"/>
    </row>
    <row r="2" spans="2:7" ht="13.5" customHeight="1" thickTop="1">
      <c r="B2" s="465" t="s">
        <v>63</v>
      </c>
      <c r="C2" s="467" t="s">
        <v>64</v>
      </c>
      <c r="D2" s="469" t="s">
        <v>65</v>
      </c>
      <c r="E2" s="422" t="s">
        <v>334</v>
      </c>
      <c r="F2" s="422" t="s">
        <v>401</v>
      </c>
      <c r="G2" s="408" t="s">
        <v>402</v>
      </c>
    </row>
    <row r="3" spans="2:7" ht="26.25" customHeight="1" thickBot="1">
      <c r="B3" s="466"/>
      <c r="C3" s="468"/>
      <c r="D3" s="470"/>
      <c r="E3" s="423"/>
      <c r="F3" s="423"/>
      <c r="G3" s="409"/>
    </row>
    <row r="4" spans="2:7" ht="15.75" customHeight="1" thickBot="1" thickTop="1">
      <c r="B4" s="184" t="s">
        <v>68</v>
      </c>
      <c r="C4" s="471" t="s">
        <v>1</v>
      </c>
      <c r="D4" s="472"/>
      <c r="E4" s="185">
        <f>SUM(E5:E10)</f>
        <v>1202189</v>
      </c>
      <c r="F4" s="185">
        <f>SUM(F5:F10)</f>
        <v>1148064</v>
      </c>
      <c r="G4" s="334">
        <f>SUM(G5:G10)</f>
        <v>1171025</v>
      </c>
    </row>
    <row r="5" spans="2:10" ht="12.75">
      <c r="B5" s="473"/>
      <c r="C5" s="131">
        <v>610</v>
      </c>
      <c r="D5" s="19" t="s">
        <v>2</v>
      </c>
      <c r="E5" s="272">
        <f>573882-17780+12000</f>
        <v>568102</v>
      </c>
      <c r="F5" s="272">
        <v>556102</v>
      </c>
      <c r="G5" s="335">
        <f aca="true" t="shared" si="0" ref="G5:G10">ROUND(F5*1.02,)</f>
        <v>567224</v>
      </c>
      <c r="H5" s="9"/>
      <c r="I5" s="9"/>
      <c r="J5" s="9"/>
    </row>
    <row r="6" spans="2:10" ht="12.75">
      <c r="B6" s="474"/>
      <c r="C6" s="132">
        <v>620</v>
      </c>
      <c r="D6" s="21" t="s">
        <v>3</v>
      </c>
      <c r="E6" s="273">
        <f>210000-6200-3200+4000</f>
        <v>204600</v>
      </c>
      <c r="F6" s="273">
        <v>200600</v>
      </c>
      <c r="G6" s="336">
        <f t="shared" si="0"/>
        <v>204612</v>
      </c>
      <c r="H6" s="9"/>
      <c r="I6" s="9"/>
      <c r="J6" s="9"/>
    </row>
    <row r="7" spans="2:10" ht="12.75">
      <c r="B7" s="474"/>
      <c r="C7" s="132">
        <v>630</v>
      </c>
      <c r="D7" s="21" t="s">
        <v>66</v>
      </c>
      <c r="E7" s="273">
        <f>461372-70000-10</f>
        <v>391362</v>
      </c>
      <c r="F7" s="273">
        <v>391362</v>
      </c>
      <c r="G7" s="336">
        <f t="shared" si="0"/>
        <v>399189</v>
      </c>
      <c r="I7" s="9"/>
      <c r="J7" s="9"/>
    </row>
    <row r="8" spans="2:10" ht="12.75">
      <c r="B8" s="474"/>
      <c r="C8" s="132">
        <v>640</v>
      </c>
      <c r="D8" s="21" t="s">
        <v>67</v>
      </c>
      <c r="E8" s="273">
        <f>15290+12235</f>
        <v>27525</v>
      </c>
      <c r="F8" s="273">
        <v>0</v>
      </c>
      <c r="G8" s="336">
        <f t="shared" si="0"/>
        <v>0</v>
      </c>
      <c r="I8" s="9"/>
      <c r="J8" s="9"/>
    </row>
    <row r="9" spans="2:8" ht="12.75">
      <c r="B9" s="474"/>
      <c r="C9" s="132">
        <v>650</v>
      </c>
      <c r="D9" s="21" t="s">
        <v>222</v>
      </c>
      <c r="E9" s="273">
        <v>600</v>
      </c>
      <c r="F9" s="273"/>
      <c r="G9" s="336">
        <f t="shared" si="0"/>
        <v>0</v>
      </c>
      <c r="H9" s="9"/>
    </row>
    <row r="10" spans="2:8" ht="13.5" thickBot="1">
      <c r="B10" s="475"/>
      <c r="C10" s="141">
        <v>600</v>
      </c>
      <c r="D10" s="217" t="s">
        <v>216</v>
      </c>
      <c r="E10" s="274">
        <v>10000</v>
      </c>
      <c r="F10" s="274"/>
      <c r="G10" s="337">
        <f t="shared" si="0"/>
        <v>0</v>
      </c>
      <c r="H10" s="9"/>
    </row>
    <row r="11" spans="2:7" ht="15.75" thickBot="1">
      <c r="B11" s="103" t="s">
        <v>4</v>
      </c>
      <c r="C11" s="433" t="s">
        <v>5</v>
      </c>
      <c r="D11" s="434"/>
      <c r="E11" s="275">
        <f>SUM(E12:E13)</f>
        <v>16260</v>
      </c>
      <c r="F11" s="275">
        <f>SUM(F12:F13)</f>
        <v>16260</v>
      </c>
      <c r="G11" s="338">
        <f>SUM(G12:G13)</f>
        <v>16585</v>
      </c>
    </row>
    <row r="12" spans="2:7" ht="12.75">
      <c r="B12" s="479"/>
      <c r="C12" s="134">
        <v>630</v>
      </c>
      <c r="D12" s="25" t="s">
        <v>69</v>
      </c>
      <c r="E12" s="26">
        <v>1660</v>
      </c>
      <c r="F12" s="26">
        <v>1660</v>
      </c>
      <c r="G12" s="339">
        <f>ROUND(F12*1.02,)</f>
        <v>1693</v>
      </c>
    </row>
    <row r="13" spans="2:7" ht="13.5" thickBot="1">
      <c r="B13" s="480"/>
      <c r="C13" s="135">
        <v>630</v>
      </c>
      <c r="D13" s="13" t="s">
        <v>70</v>
      </c>
      <c r="E13" s="194">
        <v>14600</v>
      </c>
      <c r="F13" s="194">
        <v>14600</v>
      </c>
      <c r="G13" s="340">
        <f>ROUND(F13*1.02,)</f>
        <v>14892</v>
      </c>
    </row>
    <row r="14" spans="2:7" s="35" customFormat="1" ht="15.75" thickBot="1">
      <c r="B14" s="103" t="s">
        <v>71</v>
      </c>
      <c r="C14" s="433" t="s">
        <v>214</v>
      </c>
      <c r="D14" s="434"/>
      <c r="E14" s="41">
        <f>SUM(E15:E17)</f>
        <v>31179</v>
      </c>
      <c r="F14" s="41">
        <f>SUM(F15:F17)</f>
        <v>29936</v>
      </c>
      <c r="G14" s="315">
        <f>SUM(G15:G17)</f>
        <v>30535</v>
      </c>
    </row>
    <row r="15" spans="2:7" ht="12.75">
      <c r="B15" s="479"/>
      <c r="C15" s="131">
        <v>610</v>
      </c>
      <c r="D15" s="19" t="s">
        <v>2</v>
      </c>
      <c r="E15" s="20">
        <v>18584</v>
      </c>
      <c r="F15" s="20">
        <v>18584</v>
      </c>
      <c r="G15" s="341">
        <f>ROUND(F15*1.02,)</f>
        <v>18956</v>
      </c>
    </row>
    <row r="16" spans="2:10" ht="12.75">
      <c r="B16" s="481"/>
      <c r="C16" s="132">
        <v>620</v>
      </c>
      <c r="D16" s="21" t="s">
        <v>3</v>
      </c>
      <c r="E16" s="22">
        <f>5252+1243</f>
        <v>6495</v>
      </c>
      <c r="F16" s="22">
        <v>5252</v>
      </c>
      <c r="G16" s="342">
        <f>ROUND(F16*1.02,)</f>
        <v>5357</v>
      </c>
      <c r="J16" s="9"/>
    </row>
    <row r="17" spans="2:10" ht="13.5" thickBot="1">
      <c r="B17" s="480"/>
      <c r="C17" s="132">
        <v>630</v>
      </c>
      <c r="D17" s="21" t="s">
        <v>66</v>
      </c>
      <c r="E17" s="22">
        <f>6370-270</f>
        <v>6100</v>
      </c>
      <c r="F17" s="22">
        <v>6100</v>
      </c>
      <c r="G17" s="342">
        <f>ROUND(F17*1.02,)</f>
        <v>6222</v>
      </c>
      <c r="J17" s="9"/>
    </row>
    <row r="18" spans="2:7" ht="15.75" thickBot="1">
      <c r="B18" s="103" t="s">
        <v>211</v>
      </c>
      <c r="C18" s="433" t="s">
        <v>223</v>
      </c>
      <c r="D18" s="434"/>
      <c r="E18" s="41">
        <f>E21+E19+E20</f>
        <v>12259</v>
      </c>
      <c r="F18" s="41">
        <f>F21+F19+F20</f>
        <v>11798</v>
      </c>
      <c r="G18" s="315">
        <f>G21+G19+G20</f>
        <v>12034</v>
      </c>
    </row>
    <row r="19" spans="2:7" ht="14.25" customHeight="1">
      <c r="B19" s="252"/>
      <c r="C19" s="131">
        <v>610</v>
      </c>
      <c r="D19" s="19" t="s">
        <v>2</v>
      </c>
      <c r="E19" s="20">
        <v>7676</v>
      </c>
      <c r="F19" s="20">
        <v>7676</v>
      </c>
      <c r="G19" s="341">
        <f>ROUND(F19*1.02,)</f>
        <v>7830</v>
      </c>
    </row>
    <row r="20" spans="2:7" ht="14.25" customHeight="1">
      <c r="B20" s="252"/>
      <c r="C20" s="132">
        <v>620</v>
      </c>
      <c r="D20" s="21" t="s">
        <v>3</v>
      </c>
      <c r="E20" s="22">
        <f>2222+461</f>
        <v>2683</v>
      </c>
      <c r="F20" s="22">
        <v>2222</v>
      </c>
      <c r="G20" s="342">
        <f>ROUND(F20*1.02,)</f>
        <v>2266</v>
      </c>
    </row>
    <row r="21" spans="2:7" ht="14.25" customHeight="1" thickBot="1">
      <c r="B21" s="104"/>
      <c r="C21" s="132">
        <v>630</v>
      </c>
      <c r="D21" s="21" t="s">
        <v>66</v>
      </c>
      <c r="E21" s="22">
        <f>2027-127</f>
        <v>1900</v>
      </c>
      <c r="F21" s="22">
        <v>1900</v>
      </c>
      <c r="G21" s="342">
        <f>ROUND(F21*1.02,)</f>
        <v>1938</v>
      </c>
    </row>
    <row r="22" spans="2:7" s="35" customFormat="1" ht="15.75" thickBot="1">
      <c r="B22" s="103" t="s">
        <v>6</v>
      </c>
      <c r="C22" s="433" t="s">
        <v>7</v>
      </c>
      <c r="D22" s="434"/>
      <c r="E22" s="41">
        <f>E23</f>
        <v>86300</v>
      </c>
      <c r="F22" s="41">
        <f>F23</f>
        <v>86300</v>
      </c>
      <c r="G22" s="315">
        <f>G23</f>
        <v>88026</v>
      </c>
    </row>
    <row r="23" spans="2:7" ht="13.5" thickBot="1">
      <c r="B23" s="104"/>
      <c r="C23" s="136">
        <v>630</v>
      </c>
      <c r="D23" s="11" t="s">
        <v>8</v>
      </c>
      <c r="E23" s="15">
        <v>86300</v>
      </c>
      <c r="F23" s="15">
        <f>ROUND(E23*1,)</f>
        <v>86300</v>
      </c>
      <c r="G23" s="343">
        <f>ROUND(F23*1.02,)</f>
        <v>88026</v>
      </c>
    </row>
    <row r="24" spans="2:7" s="35" customFormat="1" ht="15.75" thickBot="1">
      <c r="B24" s="103" t="s">
        <v>9</v>
      </c>
      <c r="C24" s="433" t="s">
        <v>10</v>
      </c>
      <c r="D24" s="434"/>
      <c r="E24" s="41">
        <f>E25</f>
        <v>1400</v>
      </c>
      <c r="F24" s="41">
        <f>F25</f>
        <v>1400</v>
      </c>
      <c r="G24" s="315">
        <f>G25</f>
        <v>1428</v>
      </c>
    </row>
    <row r="25" spans="2:7" ht="13.5" thickBot="1">
      <c r="B25" s="105"/>
      <c r="C25" s="137"/>
      <c r="D25" s="11" t="s">
        <v>11</v>
      </c>
      <c r="E25" s="15">
        <v>1400</v>
      </c>
      <c r="F25" s="15">
        <f>ROUND(E25*1,)</f>
        <v>1400</v>
      </c>
      <c r="G25" s="343">
        <f>ROUND(F25*1.02,)</f>
        <v>1428</v>
      </c>
    </row>
    <row r="26" spans="2:7" s="35" customFormat="1" ht="15.75" thickBot="1">
      <c r="B26" s="103" t="s">
        <v>12</v>
      </c>
      <c r="C26" s="433" t="s">
        <v>73</v>
      </c>
      <c r="D26" s="434"/>
      <c r="E26" s="41">
        <f>SUM(E27:E30)</f>
        <v>125946</v>
      </c>
      <c r="F26" s="41">
        <f>SUM(F27:F30)</f>
        <v>127094</v>
      </c>
      <c r="G26" s="315">
        <f>SUM(G27:G30)</f>
        <v>129636</v>
      </c>
    </row>
    <row r="27" spans="2:7" ht="12.75">
      <c r="B27" s="473"/>
      <c r="C27" s="131">
        <v>610</v>
      </c>
      <c r="D27" s="19" t="s">
        <v>2</v>
      </c>
      <c r="E27" s="20">
        <v>80800</v>
      </c>
      <c r="F27" s="20">
        <v>80800</v>
      </c>
      <c r="G27" s="341">
        <f>ROUND(F27*1.02,)</f>
        <v>82416</v>
      </c>
    </row>
    <row r="28" spans="2:7" ht="12.75">
      <c r="B28" s="474"/>
      <c r="C28" s="132">
        <v>620</v>
      </c>
      <c r="D28" s="21" t="s">
        <v>3</v>
      </c>
      <c r="E28" s="22">
        <f>29694-1454</f>
        <v>28240</v>
      </c>
      <c r="F28" s="22">
        <v>29694</v>
      </c>
      <c r="G28" s="342">
        <f>ROUND(F28*1.02,)</f>
        <v>30288</v>
      </c>
    </row>
    <row r="29" spans="2:7" ht="12.75">
      <c r="B29" s="474"/>
      <c r="C29" s="132">
        <v>630</v>
      </c>
      <c r="D29" s="21" t="s">
        <v>66</v>
      </c>
      <c r="E29" s="22">
        <v>16600</v>
      </c>
      <c r="F29" s="22">
        <v>16600</v>
      </c>
      <c r="G29" s="342">
        <f>ROUND(F29*1.02,)</f>
        <v>16932</v>
      </c>
    </row>
    <row r="30" spans="2:7" ht="13.5" thickBot="1">
      <c r="B30" s="475"/>
      <c r="C30" s="132">
        <v>650</v>
      </c>
      <c r="D30" s="21" t="s">
        <v>222</v>
      </c>
      <c r="E30" s="22">
        <v>306</v>
      </c>
      <c r="F30" s="22"/>
      <c r="G30" s="342">
        <f>ROUND(F30*1.02,)</f>
        <v>0</v>
      </c>
    </row>
    <row r="31" spans="2:7" s="35" customFormat="1" ht="15.75" thickBot="1">
      <c r="B31" s="103" t="s">
        <v>14</v>
      </c>
      <c r="C31" s="433" t="s">
        <v>15</v>
      </c>
      <c r="D31" s="434"/>
      <c r="E31" s="41">
        <f>E32</f>
        <v>3300</v>
      </c>
      <c r="F31" s="41">
        <f>F32</f>
        <v>3300</v>
      </c>
      <c r="G31" s="315">
        <f>G32</f>
        <v>3366</v>
      </c>
    </row>
    <row r="32" spans="2:7" ht="13.5" thickBot="1">
      <c r="B32" s="105"/>
      <c r="C32" s="138"/>
      <c r="D32" s="16" t="s">
        <v>16</v>
      </c>
      <c r="E32" s="15">
        <v>3300</v>
      </c>
      <c r="F32" s="15">
        <f>ROUND(E32*1,)</f>
        <v>3300</v>
      </c>
      <c r="G32" s="343">
        <f>ROUND(F32*1.02,)</f>
        <v>3366</v>
      </c>
    </row>
    <row r="33" spans="2:7" s="35" customFormat="1" ht="15.75" thickBot="1">
      <c r="B33" s="106" t="s">
        <v>60</v>
      </c>
      <c r="C33" s="433" t="s">
        <v>61</v>
      </c>
      <c r="D33" s="434"/>
      <c r="E33" s="94">
        <f>SUM(E34:E36)</f>
        <v>43997</v>
      </c>
      <c r="F33" s="94">
        <f>SUM(F34:F36)</f>
        <v>42643</v>
      </c>
      <c r="G33" s="317">
        <f>SUM(G34:G36)</f>
        <v>43496</v>
      </c>
    </row>
    <row r="34" spans="2:7" ht="12.75">
      <c r="B34" s="473"/>
      <c r="C34" s="131">
        <v>610</v>
      </c>
      <c r="D34" s="19" t="s">
        <v>2</v>
      </c>
      <c r="E34" s="20">
        <v>19190</v>
      </c>
      <c r="F34" s="20">
        <v>19190</v>
      </c>
      <c r="G34" s="341">
        <f>ROUND(F34*1.02,)</f>
        <v>19574</v>
      </c>
    </row>
    <row r="35" spans="2:7" ht="12.75">
      <c r="B35" s="474"/>
      <c r="C35" s="132">
        <v>620</v>
      </c>
      <c r="D35" s="21" t="s">
        <v>3</v>
      </c>
      <c r="E35" s="22">
        <f>5353+1354</f>
        <v>6707</v>
      </c>
      <c r="F35" s="22">
        <v>5353</v>
      </c>
      <c r="G35" s="342">
        <f>ROUND(F35*1.02,)</f>
        <v>5460</v>
      </c>
    </row>
    <row r="36" spans="2:7" ht="13.5" thickBot="1">
      <c r="B36" s="475"/>
      <c r="C36" s="132">
        <v>630</v>
      </c>
      <c r="D36" s="21" t="s">
        <v>66</v>
      </c>
      <c r="E36" s="22">
        <v>18100</v>
      </c>
      <c r="F36" s="22">
        <v>18100</v>
      </c>
      <c r="G36" s="342">
        <f>ROUND(F36*1.02,)</f>
        <v>18462</v>
      </c>
    </row>
    <row r="37" spans="2:7" s="35" customFormat="1" ht="15.75" thickBot="1">
      <c r="B37" s="103" t="s">
        <v>17</v>
      </c>
      <c r="C37" s="433" t="s">
        <v>18</v>
      </c>
      <c r="D37" s="434"/>
      <c r="E37" s="41">
        <f>E38</f>
        <v>200</v>
      </c>
      <c r="F37" s="41">
        <f>F38</f>
        <v>200</v>
      </c>
      <c r="G37" s="315">
        <f>G38</f>
        <v>204</v>
      </c>
    </row>
    <row r="38" spans="2:7" ht="13.5" thickBot="1">
      <c r="B38" s="107"/>
      <c r="C38" s="139">
        <v>640</v>
      </c>
      <c r="D38" s="17" t="s">
        <v>301</v>
      </c>
      <c r="E38" s="269">
        <v>200</v>
      </c>
      <c r="F38" s="269">
        <v>200</v>
      </c>
      <c r="G38" s="344">
        <f>ROUND(F38*1.02,)</f>
        <v>204</v>
      </c>
    </row>
    <row r="39" spans="2:7" ht="15.75" thickBot="1">
      <c r="B39" s="103" t="s">
        <v>147</v>
      </c>
      <c r="C39" s="433" t="s">
        <v>31</v>
      </c>
      <c r="D39" s="434"/>
      <c r="E39" s="94">
        <f>SUM(E40:E42)</f>
        <v>32778</v>
      </c>
      <c r="F39" s="94">
        <f>SUM(F40:F42)</f>
        <v>30844</v>
      </c>
      <c r="G39" s="317">
        <f>SUM(G40:G42)</f>
        <v>31461</v>
      </c>
    </row>
    <row r="40" spans="2:7" ht="12.75">
      <c r="B40" s="473"/>
      <c r="C40" s="131">
        <v>610</v>
      </c>
      <c r="D40" s="19" t="s">
        <v>2</v>
      </c>
      <c r="E40" s="20">
        <v>19695</v>
      </c>
      <c r="F40" s="20">
        <v>19695</v>
      </c>
      <c r="G40" s="341">
        <f>ROUND(F40*1.02,)</f>
        <v>20089</v>
      </c>
    </row>
    <row r="41" spans="2:7" ht="12.75">
      <c r="B41" s="474"/>
      <c r="C41" s="132">
        <v>620</v>
      </c>
      <c r="D41" s="21" t="s">
        <v>3</v>
      </c>
      <c r="E41" s="22">
        <f>4949+1934</f>
        <v>6883</v>
      </c>
      <c r="F41" s="22">
        <v>4949</v>
      </c>
      <c r="G41" s="342">
        <f>ROUND(F41*1.02,)</f>
        <v>5048</v>
      </c>
    </row>
    <row r="42" spans="2:7" ht="13.5" thickBot="1">
      <c r="B42" s="475"/>
      <c r="C42" s="145">
        <v>630</v>
      </c>
      <c r="D42" s="33" t="s">
        <v>66</v>
      </c>
      <c r="E42" s="34">
        <f>6489-289</f>
        <v>6200</v>
      </c>
      <c r="F42" s="22">
        <v>6200</v>
      </c>
      <c r="G42" s="345">
        <f>ROUND(F42*1.02,)</f>
        <v>6324</v>
      </c>
    </row>
    <row r="43" spans="2:7" s="35" customFormat="1" ht="15.75" thickBot="1">
      <c r="B43" s="103" t="s">
        <v>149</v>
      </c>
      <c r="C43" s="433" t="s">
        <v>19</v>
      </c>
      <c r="D43" s="434"/>
      <c r="E43" s="41">
        <f>SUM(E44:E47)</f>
        <v>422146</v>
      </c>
      <c r="F43" s="41">
        <f>SUM(F44:F47)</f>
        <v>390257</v>
      </c>
      <c r="G43" s="315">
        <f>SUM(G44:G47)</f>
        <v>398062</v>
      </c>
    </row>
    <row r="44" spans="2:7" s="35" customFormat="1" ht="13.5" customHeight="1">
      <c r="B44" s="476"/>
      <c r="C44" s="140">
        <v>640</v>
      </c>
      <c r="D44" s="121" t="s">
        <v>167</v>
      </c>
      <c r="E44" s="26">
        <f>278000+33000</f>
        <v>311000</v>
      </c>
      <c r="F44" s="26">
        <v>278000</v>
      </c>
      <c r="G44" s="339">
        <f>ROUND(F44*1.02,)</f>
        <v>283560</v>
      </c>
    </row>
    <row r="45" spans="2:7" s="35" customFormat="1" ht="13.5" customHeight="1">
      <c r="B45" s="477"/>
      <c r="C45" s="282">
        <v>630</v>
      </c>
      <c r="D45" s="283" t="s">
        <v>364</v>
      </c>
      <c r="E45" s="119">
        <v>60000</v>
      </c>
      <c r="F45" s="119">
        <f>ROUND(E45*1.01,)</f>
        <v>60600</v>
      </c>
      <c r="G45" s="346">
        <f>ROUND(F45*1.02,)</f>
        <v>61812</v>
      </c>
    </row>
    <row r="46" spans="2:7" s="35" customFormat="1" ht="13.5" customHeight="1">
      <c r="B46" s="477"/>
      <c r="C46" s="270">
        <v>650</v>
      </c>
      <c r="D46" s="271" t="s">
        <v>222</v>
      </c>
      <c r="E46" s="28">
        <v>1146</v>
      </c>
      <c r="F46" s="28">
        <f>ROUND(E46*1.01,)</f>
        <v>1157</v>
      </c>
      <c r="G46" s="347">
        <f>ROUND(F46*1.02,)</f>
        <v>1180</v>
      </c>
    </row>
    <row r="47" spans="2:7" ht="13.5" thickBot="1">
      <c r="B47" s="478"/>
      <c r="C47" s="141">
        <v>640</v>
      </c>
      <c r="D47" s="120" t="s">
        <v>20</v>
      </c>
      <c r="E47" s="10">
        <v>50000</v>
      </c>
      <c r="F47" s="10">
        <f>ROUND(E47*1.01,)</f>
        <v>50500</v>
      </c>
      <c r="G47" s="348">
        <f>ROUND(F47*1.02,)</f>
        <v>51510</v>
      </c>
    </row>
    <row r="48" spans="2:7" s="35" customFormat="1" ht="15.75" thickBot="1">
      <c r="B48" s="103" t="s">
        <v>21</v>
      </c>
      <c r="C48" s="433" t="s">
        <v>22</v>
      </c>
      <c r="D48" s="434"/>
      <c r="E48" s="41">
        <f>SUM(E53:E59)+E49</f>
        <v>60192</v>
      </c>
      <c r="F48" s="41">
        <f>SUM(F53:F59)+F49</f>
        <v>56903</v>
      </c>
      <c r="G48" s="315">
        <f>SUM(G53:G59)+G49</f>
        <v>58041</v>
      </c>
    </row>
    <row r="49" spans="2:7" ht="13.5" thickBot="1">
      <c r="B49" s="479"/>
      <c r="C49" s="486" t="s">
        <v>261</v>
      </c>
      <c r="D49" s="487"/>
      <c r="E49" s="257">
        <f>SUM(E50:E52)</f>
        <v>26007</v>
      </c>
      <c r="F49" s="257">
        <f>SUM(F50:F52)</f>
        <v>24718</v>
      </c>
      <c r="G49" s="349">
        <f>SUM(G50:G52)</f>
        <v>25212</v>
      </c>
    </row>
    <row r="50" spans="2:7" ht="12.75">
      <c r="B50" s="481"/>
      <c r="C50" s="142">
        <v>610</v>
      </c>
      <c r="D50" s="118" t="s">
        <v>2</v>
      </c>
      <c r="E50" s="119">
        <v>17271</v>
      </c>
      <c r="F50" s="119">
        <v>17271</v>
      </c>
      <c r="G50" s="346">
        <f aca="true" t="shared" si="1" ref="G50:G59">ROUND(F50*1.02,)</f>
        <v>17616</v>
      </c>
    </row>
    <row r="51" spans="2:7" ht="12.75">
      <c r="B51" s="481"/>
      <c r="C51" s="142">
        <v>620</v>
      </c>
      <c r="D51" s="118" t="s">
        <v>3</v>
      </c>
      <c r="E51" s="119">
        <f>4747+1289</f>
        <v>6036</v>
      </c>
      <c r="F51" s="119">
        <v>4747</v>
      </c>
      <c r="G51" s="346">
        <f t="shared" si="1"/>
        <v>4842</v>
      </c>
    </row>
    <row r="52" spans="2:7" ht="13.5" thickBot="1">
      <c r="B52" s="481"/>
      <c r="C52" s="135">
        <v>630</v>
      </c>
      <c r="D52" s="13" t="s">
        <v>66</v>
      </c>
      <c r="E52" s="194">
        <f>2980-280</f>
        <v>2700</v>
      </c>
      <c r="F52" s="194">
        <v>2700</v>
      </c>
      <c r="G52" s="340">
        <f t="shared" si="1"/>
        <v>2754</v>
      </c>
    </row>
    <row r="53" spans="2:7" ht="12.75">
      <c r="B53" s="481"/>
      <c r="C53" s="142">
        <v>600</v>
      </c>
      <c r="D53" s="118" t="s">
        <v>23</v>
      </c>
      <c r="E53" s="119">
        <v>10000</v>
      </c>
      <c r="F53" s="119">
        <f>ROUND(E53*1,)</f>
        <v>10000</v>
      </c>
      <c r="G53" s="346">
        <f t="shared" si="1"/>
        <v>10200</v>
      </c>
    </row>
    <row r="54" spans="2:7" ht="12.75">
      <c r="B54" s="481"/>
      <c r="C54" s="142">
        <v>600</v>
      </c>
      <c r="D54" s="118" t="s">
        <v>215</v>
      </c>
      <c r="E54" s="119">
        <v>2000</v>
      </c>
      <c r="F54" s="119"/>
      <c r="G54" s="346">
        <f t="shared" si="1"/>
        <v>0</v>
      </c>
    </row>
    <row r="55" spans="2:7" ht="12.75">
      <c r="B55" s="481"/>
      <c r="C55" s="142">
        <v>600</v>
      </c>
      <c r="D55" s="27" t="s">
        <v>24</v>
      </c>
      <c r="E55" s="28">
        <f>7000+885</f>
        <v>7885</v>
      </c>
      <c r="F55" s="28">
        <f>ROUND(E55*1,)</f>
        <v>7885</v>
      </c>
      <c r="G55" s="347">
        <f t="shared" si="1"/>
        <v>8043</v>
      </c>
    </row>
    <row r="56" spans="2:7" ht="12.75">
      <c r="B56" s="481"/>
      <c r="C56" s="142">
        <v>600</v>
      </c>
      <c r="D56" s="27" t="s">
        <v>219</v>
      </c>
      <c r="E56" s="28">
        <v>3500</v>
      </c>
      <c r="F56" s="28">
        <f>ROUND(E56*1,)</f>
        <v>3500</v>
      </c>
      <c r="G56" s="347">
        <f t="shared" si="1"/>
        <v>3570</v>
      </c>
    </row>
    <row r="57" spans="2:7" ht="12.75">
      <c r="B57" s="481"/>
      <c r="C57" s="142">
        <v>600</v>
      </c>
      <c r="D57" s="27" t="s">
        <v>25</v>
      </c>
      <c r="E57" s="28">
        <v>3500</v>
      </c>
      <c r="F57" s="28">
        <f>ROUND(E57*1,)</f>
        <v>3500</v>
      </c>
      <c r="G57" s="347">
        <f t="shared" si="1"/>
        <v>3570</v>
      </c>
    </row>
    <row r="58" spans="2:7" ht="12.75">
      <c r="B58" s="481"/>
      <c r="C58" s="142">
        <v>600</v>
      </c>
      <c r="D58" s="27" t="s">
        <v>288</v>
      </c>
      <c r="E58" s="28">
        <v>7300</v>
      </c>
      <c r="F58" s="28">
        <f>ROUND(E58*1,)</f>
        <v>7300</v>
      </c>
      <c r="G58" s="347">
        <f t="shared" si="1"/>
        <v>7446</v>
      </c>
    </row>
    <row r="59" spans="2:7" ht="13.5" thickBot="1">
      <c r="B59" s="480"/>
      <c r="C59" s="142"/>
      <c r="D59" s="23"/>
      <c r="E59" s="29"/>
      <c r="F59" s="29">
        <f>ROUND(E59*1.02,)</f>
        <v>0</v>
      </c>
      <c r="G59" s="350">
        <f t="shared" si="1"/>
        <v>0</v>
      </c>
    </row>
    <row r="60" spans="2:7" s="35" customFormat="1" ht="15.75" thickBot="1">
      <c r="B60" s="103" t="s">
        <v>26</v>
      </c>
      <c r="C60" s="433" t="s">
        <v>27</v>
      </c>
      <c r="D60" s="434"/>
      <c r="E60" s="41">
        <f>SUM(E61:E63)</f>
        <v>21210</v>
      </c>
      <c r="F60" s="41">
        <f>SUM(F61:F63)</f>
        <v>21210</v>
      </c>
      <c r="G60" s="315">
        <f>SUM(G61:G63)</f>
        <v>21634</v>
      </c>
    </row>
    <row r="61" spans="2:7" ht="12.75">
      <c r="B61" s="479"/>
      <c r="C61" s="143" t="s">
        <v>74</v>
      </c>
      <c r="D61" s="25" t="s">
        <v>193</v>
      </c>
      <c r="E61" s="26">
        <v>7320</v>
      </c>
      <c r="F61" s="26">
        <v>7320</v>
      </c>
      <c r="G61" s="339">
        <f>ROUND(F61*1.02,)</f>
        <v>7466</v>
      </c>
    </row>
    <row r="62" spans="2:7" ht="12.75">
      <c r="B62" s="481"/>
      <c r="C62" s="144" t="s">
        <v>74</v>
      </c>
      <c r="D62" s="27" t="s">
        <v>194</v>
      </c>
      <c r="E62" s="28">
        <v>7450</v>
      </c>
      <c r="F62" s="28">
        <v>7450</v>
      </c>
      <c r="G62" s="347">
        <f>ROUND(F62*1.02,)</f>
        <v>7599</v>
      </c>
    </row>
    <row r="63" spans="1:7" ht="15" thickBot="1">
      <c r="A63" s="35"/>
      <c r="B63" s="480"/>
      <c r="C63" s="133">
        <v>600</v>
      </c>
      <c r="D63" s="23" t="s">
        <v>195</v>
      </c>
      <c r="E63" s="24">
        <v>6440</v>
      </c>
      <c r="F63" s="24">
        <v>6440</v>
      </c>
      <c r="G63" s="351">
        <f>ROUND(F63*1.02,)</f>
        <v>6569</v>
      </c>
    </row>
    <row r="64" spans="1:7" ht="15" thickBot="1">
      <c r="A64" s="35"/>
      <c r="B64" s="281"/>
      <c r="C64" s="294"/>
      <c r="D64" s="295"/>
      <c r="E64" s="216"/>
      <c r="F64" s="216"/>
      <c r="G64" s="352"/>
    </row>
    <row r="65" spans="1:7" ht="15" customHeight="1" thickTop="1">
      <c r="A65" s="35"/>
      <c r="B65" s="465" t="s">
        <v>63</v>
      </c>
      <c r="C65" s="467" t="s">
        <v>64</v>
      </c>
      <c r="D65" s="469" t="s">
        <v>65</v>
      </c>
      <c r="E65" s="422" t="s">
        <v>334</v>
      </c>
      <c r="F65" s="422" t="s">
        <v>401</v>
      </c>
      <c r="G65" s="408" t="s">
        <v>402</v>
      </c>
    </row>
    <row r="66" spans="1:7" ht="24.75" customHeight="1" thickBot="1">
      <c r="A66" s="35"/>
      <c r="B66" s="466"/>
      <c r="C66" s="468"/>
      <c r="D66" s="470"/>
      <c r="E66" s="423"/>
      <c r="F66" s="423"/>
      <c r="G66" s="409"/>
    </row>
    <row r="67" spans="1:7" s="35" customFormat="1" ht="18" customHeight="1" thickBot="1" thickTop="1">
      <c r="A67" s="8"/>
      <c r="B67" s="103" t="s">
        <v>28</v>
      </c>
      <c r="C67" s="499" t="s">
        <v>29</v>
      </c>
      <c r="D67" s="500"/>
      <c r="E67" s="41">
        <f>SUM(E68:E70)</f>
        <v>384975</v>
      </c>
      <c r="F67" s="41">
        <f>SUM(F68:F70)</f>
        <v>336605</v>
      </c>
      <c r="G67" s="315">
        <f>SUM(G68:G70)</f>
        <v>343337</v>
      </c>
    </row>
    <row r="68" spans="1:7" s="35" customFormat="1" ht="15" customHeight="1">
      <c r="A68" s="8"/>
      <c r="B68" s="476"/>
      <c r="C68" s="134">
        <v>650</v>
      </c>
      <c r="D68" s="297" t="s">
        <v>222</v>
      </c>
      <c r="E68" s="277">
        <v>4585</v>
      </c>
      <c r="F68" s="277">
        <f>ROUND(E68*1,)</f>
        <v>4585</v>
      </c>
      <c r="G68" s="353">
        <f>ROUND(F68*1.02,)</f>
        <v>4677</v>
      </c>
    </row>
    <row r="69" spans="2:7" s="284" customFormat="1" ht="15" customHeight="1">
      <c r="B69" s="477"/>
      <c r="C69" s="144" t="s">
        <v>367</v>
      </c>
      <c r="D69" s="299" t="s">
        <v>368</v>
      </c>
      <c r="E69" s="300">
        <v>48370</v>
      </c>
      <c r="F69" s="300"/>
      <c r="G69" s="354">
        <f>ROUND(F69*1.02,)</f>
        <v>0</v>
      </c>
    </row>
    <row r="70" spans="2:9" ht="15.75" customHeight="1" thickBot="1">
      <c r="B70" s="478"/>
      <c r="C70" s="302">
        <v>640</v>
      </c>
      <c r="D70" s="303" t="s">
        <v>325</v>
      </c>
      <c r="E70" s="304">
        <f>415000-82980</f>
        <v>332020</v>
      </c>
      <c r="F70" s="304">
        <f>ROUND(E70*1,)</f>
        <v>332020</v>
      </c>
      <c r="G70" s="355">
        <f>ROUND(F70*1.02,)</f>
        <v>338660</v>
      </c>
      <c r="I70" s="9"/>
    </row>
    <row r="71" spans="2:7" ht="15.75" thickBot="1">
      <c r="B71" s="109" t="s">
        <v>30</v>
      </c>
      <c r="C71" s="484" t="s">
        <v>32</v>
      </c>
      <c r="D71" s="485"/>
      <c r="E71" s="102">
        <f>SUM(E72:E74)</f>
        <v>24314</v>
      </c>
      <c r="F71" s="102">
        <f>SUM(F72:F74)</f>
        <v>18013</v>
      </c>
      <c r="G71" s="325">
        <f>SUM(G72:G74)</f>
        <v>18373</v>
      </c>
    </row>
    <row r="72" spans="2:7" ht="12.75">
      <c r="B72" s="479"/>
      <c r="C72" s="131">
        <v>610</v>
      </c>
      <c r="D72" s="19" t="s">
        <v>2</v>
      </c>
      <c r="E72" s="20">
        <f>12120+4000</f>
        <v>16120</v>
      </c>
      <c r="F72" s="20">
        <v>12120</v>
      </c>
      <c r="G72" s="341">
        <f>ROUND(F72*1.02,)</f>
        <v>12362</v>
      </c>
    </row>
    <row r="73" spans="2:7" ht="12.75">
      <c r="B73" s="481"/>
      <c r="C73" s="132">
        <v>620</v>
      </c>
      <c r="D73" s="21" t="s">
        <v>3</v>
      </c>
      <c r="E73" s="22">
        <f>3333+800+1501</f>
        <v>5634</v>
      </c>
      <c r="F73" s="22">
        <v>3333</v>
      </c>
      <c r="G73" s="342">
        <f>ROUND(F73*1.02,)</f>
        <v>3400</v>
      </c>
    </row>
    <row r="74" spans="2:7" ht="13.5" thickBot="1">
      <c r="B74" s="480"/>
      <c r="C74" s="133">
        <v>630</v>
      </c>
      <c r="D74" s="23" t="s">
        <v>66</v>
      </c>
      <c r="E74" s="24">
        <v>2560</v>
      </c>
      <c r="F74" s="24">
        <f>ROUND(E74*1,)</f>
        <v>2560</v>
      </c>
      <c r="G74" s="351">
        <f>ROUND(F74*1.02,)</f>
        <v>2611</v>
      </c>
    </row>
    <row r="75" spans="2:7" ht="15.75" thickBot="1">
      <c r="B75" s="109" t="s">
        <v>33</v>
      </c>
      <c r="C75" s="484" t="s">
        <v>34</v>
      </c>
      <c r="D75" s="485"/>
      <c r="E75" s="102">
        <f>SUM(E76:E78)</f>
        <v>15721</v>
      </c>
      <c r="F75" s="102">
        <f>SUM(F76:F78)</f>
        <v>15059</v>
      </c>
      <c r="G75" s="325">
        <f>SUM(G76:G78)</f>
        <v>15059</v>
      </c>
    </row>
    <row r="76" spans="2:7" ht="12.75">
      <c r="B76" s="479"/>
      <c r="C76" s="131">
        <v>610</v>
      </c>
      <c r="D76" s="19" t="s">
        <v>2</v>
      </c>
      <c r="E76" s="20">
        <v>9696</v>
      </c>
      <c r="F76" s="20">
        <v>9696</v>
      </c>
      <c r="G76" s="341">
        <v>9696</v>
      </c>
    </row>
    <row r="77" spans="2:7" ht="12.75">
      <c r="B77" s="481"/>
      <c r="C77" s="132">
        <v>620</v>
      </c>
      <c r="D77" s="21" t="s">
        <v>3</v>
      </c>
      <c r="E77" s="22">
        <f>2727+662</f>
        <v>3389</v>
      </c>
      <c r="F77" s="22">
        <v>2727</v>
      </c>
      <c r="G77" s="342">
        <v>2727</v>
      </c>
    </row>
    <row r="78" spans="2:7" ht="13.5" thickBot="1">
      <c r="B78" s="480"/>
      <c r="C78" s="133">
        <v>630</v>
      </c>
      <c r="D78" s="23" t="s">
        <v>66</v>
      </c>
      <c r="E78" s="24">
        <v>2636</v>
      </c>
      <c r="F78" s="24">
        <v>2636</v>
      </c>
      <c r="G78" s="351">
        <v>2636</v>
      </c>
    </row>
    <row r="79" spans="2:7" ht="15.75" thickBot="1">
      <c r="B79" s="109" t="s">
        <v>168</v>
      </c>
      <c r="C79" s="441" t="s">
        <v>169</v>
      </c>
      <c r="D79" s="442"/>
      <c r="E79" s="102">
        <f>SUM(E80:E89)</f>
        <v>388107</v>
      </c>
      <c r="F79" s="102">
        <f>SUM(F80:F89)</f>
        <v>127000</v>
      </c>
      <c r="G79" s="325">
        <f>SUM(G80:G89)</f>
        <v>129540</v>
      </c>
    </row>
    <row r="80" spans="2:7" ht="12.75">
      <c r="B80" s="473"/>
      <c r="C80" s="131">
        <v>640</v>
      </c>
      <c r="D80" s="19" t="s">
        <v>224</v>
      </c>
      <c r="E80" s="20"/>
      <c r="F80" s="20">
        <f aca="true" t="shared" si="2" ref="F80:F88">ROUND(E80*1.01,)</f>
        <v>0</v>
      </c>
      <c r="G80" s="341">
        <f aca="true" t="shared" si="3" ref="G80:G89">ROUND(F80*1.02,)</f>
        <v>0</v>
      </c>
    </row>
    <row r="81" spans="2:7" ht="12.75">
      <c r="B81" s="474"/>
      <c r="C81" s="132">
        <v>630</v>
      </c>
      <c r="D81" s="21" t="s">
        <v>344</v>
      </c>
      <c r="E81" s="22"/>
      <c r="F81" s="22">
        <f t="shared" si="2"/>
        <v>0</v>
      </c>
      <c r="G81" s="342">
        <f t="shared" si="3"/>
        <v>0</v>
      </c>
    </row>
    <row r="82" spans="2:7" ht="12.75">
      <c r="B82" s="474"/>
      <c r="C82" s="132">
        <v>630</v>
      </c>
      <c r="D82" s="21" t="s">
        <v>345</v>
      </c>
      <c r="E82" s="22"/>
      <c r="F82" s="22">
        <f t="shared" si="2"/>
        <v>0</v>
      </c>
      <c r="G82" s="342">
        <f t="shared" si="3"/>
        <v>0</v>
      </c>
    </row>
    <row r="83" spans="2:7" ht="12.75">
      <c r="B83" s="474"/>
      <c r="C83" s="132">
        <v>630</v>
      </c>
      <c r="D83" s="21" t="s">
        <v>346</v>
      </c>
      <c r="E83" s="22"/>
      <c r="F83" s="22">
        <f t="shared" si="2"/>
        <v>0</v>
      </c>
      <c r="G83" s="342">
        <f t="shared" si="3"/>
        <v>0</v>
      </c>
    </row>
    <row r="84" spans="2:7" ht="12.75">
      <c r="B84" s="474"/>
      <c r="C84" s="145">
        <v>630</v>
      </c>
      <c r="D84" s="21" t="s">
        <v>347</v>
      </c>
      <c r="E84" s="22">
        <v>127400</v>
      </c>
      <c r="F84" s="22"/>
      <c r="G84" s="342">
        <f t="shared" si="3"/>
        <v>0</v>
      </c>
    </row>
    <row r="85" spans="2:7" ht="12.75">
      <c r="B85" s="474"/>
      <c r="C85" s="145">
        <v>630</v>
      </c>
      <c r="D85" s="21" t="s">
        <v>366</v>
      </c>
      <c r="E85" s="22">
        <v>14666</v>
      </c>
      <c r="F85" s="22"/>
      <c r="G85" s="342">
        <f t="shared" si="3"/>
        <v>0</v>
      </c>
    </row>
    <row r="86" spans="2:7" ht="12.75">
      <c r="B86" s="474"/>
      <c r="C86" s="145">
        <v>630</v>
      </c>
      <c r="D86" s="21" t="s">
        <v>377</v>
      </c>
      <c r="E86" s="22">
        <v>106041</v>
      </c>
      <c r="F86" s="22"/>
      <c r="G86" s="342">
        <f t="shared" si="3"/>
        <v>0</v>
      </c>
    </row>
    <row r="87" spans="2:7" ht="12.75">
      <c r="B87" s="474"/>
      <c r="C87" s="145">
        <v>630</v>
      </c>
      <c r="D87" s="21" t="s">
        <v>365</v>
      </c>
      <c r="E87" s="22">
        <v>13000</v>
      </c>
      <c r="F87" s="22"/>
      <c r="G87" s="342">
        <f t="shared" si="3"/>
        <v>0</v>
      </c>
    </row>
    <row r="88" spans="2:7" ht="12.75">
      <c r="B88" s="474"/>
      <c r="C88" s="145">
        <v>630</v>
      </c>
      <c r="D88" s="21" t="s">
        <v>348</v>
      </c>
      <c r="E88" s="22"/>
      <c r="F88" s="22">
        <f t="shared" si="2"/>
        <v>0</v>
      </c>
      <c r="G88" s="342">
        <f t="shared" si="3"/>
        <v>0</v>
      </c>
    </row>
    <row r="89" spans="2:7" ht="13.5" thickBot="1">
      <c r="B89" s="475"/>
      <c r="C89" s="133">
        <v>640</v>
      </c>
      <c r="D89" s="23" t="s">
        <v>170</v>
      </c>
      <c r="E89" s="34">
        <v>127000</v>
      </c>
      <c r="F89" s="34">
        <f>ROUND(E89*1,)</f>
        <v>127000</v>
      </c>
      <c r="G89" s="345">
        <f t="shared" si="3"/>
        <v>129540</v>
      </c>
    </row>
    <row r="90" spans="2:7" ht="15.75" thickBot="1">
      <c r="B90" s="109" t="s">
        <v>35</v>
      </c>
      <c r="C90" s="441" t="s">
        <v>36</v>
      </c>
      <c r="D90" s="442"/>
      <c r="E90" s="41">
        <f>E91</f>
        <v>6000</v>
      </c>
      <c r="F90" s="41">
        <f>F91</f>
        <v>6000</v>
      </c>
      <c r="G90" s="315">
        <f>G91</f>
        <v>6120</v>
      </c>
    </row>
    <row r="91" spans="2:7" ht="13.5" thickBot="1">
      <c r="B91" s="108"/>
      <c r="C91" s="146"/>
      <c r="D91" s="14" t="s">
        <v>354</v>
      </c>
      <c r="E91" s="15">
        <v>6000</v>
      </c>
      <c r="F91" s="15">
        <v>6000</v>
      </c>
      <c r="G91" s="343">
        <f>ROUND(F91*1.02,)</f>
        <v>6120</v>
      </c>
    </row>
    <row r="92" spans="2:7" ht="15.75" thickBot="1">
      <c r="B92" s="109" t="s">
        <v>153</v>
      </c>
      <c r="C92" s="441" t="s">
        <v>154</v>
      </c>
      <c r="D92" s="442"/>
      <c r="E92" s="102">
        <f>E93</f>
        <v>211000</v>
      </c>
      <c r="F92" s="102">
        <f>F93</f>
        <v>211000</v>
      </c>
      <c r="G92" s="325">
        <f>G93</f>
        <v>215220</v>
      </c>
    </row>
    <row r="93" spans="2:7" ht="13.5" thickBot="1">
      <c r="B93" s="108"/>
      <c r="C93" s="146">
        <v>640</v>
      </c>
      <c r="D93" s="14" t="s">
        <v>171</v>
      </c>
      <c r="E93" s="15">
        <v>211000</v>
      </c>
      <c r="F93" s="15">
        <f>ROUND(E93*1,)</f>
        <v>211000</v>
      </c>
      <c r="G93" s="343">
        <f>ROUND(F93*1.02,)</f>
        <v>215220</v>
      </c>
    </row>
    <row r="94" spans="2:7" ht="15.75" thickBot="1">
      <c r="B94" s="109" t="s">
        <v>155</v>
      </c>
      <c r="C94" s="441" t="s">
        <v>156</v>
      </c>
      <c r="D94" s="442"/>
      <c r="E94" s="102">
        <f>SUM(E95:E96)</f>
        <v>341090</v>
      </c>
      <c r="F94" s="102">
        <f>SUM(F95:F96)</f>
        <v>341090</v>
      </c>
      <c r="G94" s="325">
        <f>SUM(G95:G96)</f>
        <v>347912</v>
      </c>
    </row>
    <row r="95" spans="2:10" ht="12.75">
      <c r="B95" s="476"/>
      <c r="C95" s="131">
        <v>600</v>
      </c>
      <c r="D95" s="121" t="s">
        <v>290</v>
      </c>
      <c r="E95" s="26">
        <f>287090+30000-10000</f>
        <v>307090</v>
      </c>
      <c r="F95" s="26">
        <f>ROUND(E95*1,)</f>
        <v>307090</v>
      </c>
      <c r="G95" s="339">
        <f>ROUND(F95*1.02,)</f>
        <v>313232</v>
      </c>
      <c r="J95" s="9"/>
    </row>
    <row r="96" spans="2:7" ht="13.5" thickBot="1">
      <c r="B96" s="478"/>
      <c r="C96" s="141">
        <v>640</v>
      </c>
      <c r="D96" s="217" t="s">
        <v>171</v>
      </c>
      <c r="E96" s="216">
        <v>34000</v>
      </c>
      <c r="F96" s="216">
        <f>ROUND(E96*1,)</f>
        <v>34000</v>
      </c>
      <c r="G96" s="352">
        <f>ROUND(F96*1.02,)</f>
        <v>34680</v>
      </c>
    </row>
    <row r="97" spans="2:10" ht="15.75" thickBot="1">
      <c r="B97" s="103" t="s">
        <v>37</v>
      </c>
      <c r="C97" s="433" t="s">
        <v>265</v>
      </c>
      <c r="D97" s="434"/>
      <c r="E97" s="41">
        <f>SUM(E98:E99)</f>
        <v>262757</v>
      </c>
      <c r="F97" s="41">
        <f>SUM(F98:F99)</f>
        <v>262757</v>
      </c>
      <c r="G97" s="315">
        <f>SUM(G98:G99)</f>
        <v>268012</v>
      </c>
      <c r="H97" s="9"/>
      <c r="I97" s="9"/>
      <c r="J97" s="9"/>
    </row>
    <row r="98" spans="2:10" ht="12.75">
      <c r="B98" s="479"/>
      <c r="C98" s="147"/>
      <c r="D98" s="19" t="s">
        <v>266</v>
      </c>
      <c r="E98" s="20">
        <f>220657-19900+12000</f>
        <v>212757</v>
      </c>
      <c r="F98" s="20">
        <f>ROUND(E98*1,)</f>
        <v>212757</v>
      </c>
      <c r="G98" s="341">
        <f>ROUND(F98*1.02,)</f>
        <v>217012</v>
      </c>
      <c r="I98" s="9"/>
      <c r="J98" s="9"/>
    </row>
    <row r="99" spans="2:10" ht="13.5" thickBot="1">
      <c r="B99" s="480"/>
      <c r="C99" s="148"/>
      <c r="D99" s="23" t="s">
        <v>302</v>
      </c>
      <c r="E99" s="24">
        <v>50000</v>
      </c>
      <c r="F99" s="24">
        <f>ROUND(E99*1,)</f>
        <v>50000</v>
      </c>
      <c r="G99" s="351">
        <f>ROUND(F99*1.02,)</f>
        <v>51000</v>
      </c>
      <c r="J99" s="9"/>
    </row>
    <row r="100" spans="2:7" ht="15.75" thickBot="1">
      <c r="B100" s="103" t="s">
        <v>38</v>
      </c>
      <c r="C100" s="433" t="s">
        <v>39</v>
      </c>
      <c r="D100" s="434"/>
      <c r="E100" s="41">
        <f>SUM(E101:E109)</f>
        <v>314908</v>
      </c>
      <c r="F100" s="41">
        <f>SUM(F101:F109)</f>
        <v>315050</v>
      </c>
      <c r="G100" s="315">
        <f>SUM(G101:G109)</f>
        <v>321351</v>
      </c>
    </row>
    <row r="101" spans="2:7" ht="12.75">
      <c r="B101" s="479"/>
      <c r="C101" s="149"/>
      <c r="D101" s="30" t="s">
        <v>40</v>
      </c>
      <c r="E101" s="20">
        <v>7120</v>
      </c>
      <c r="F101" s="20">
        <f aca="true" t="shared" si="4" ref="F101:G106">ROUND(E101*1.02,)</f>
        <v>7262</v>
      </c>
      <c r="G101" s="341">
        <f t="shared" si="4"/>
        <v>7407</v>
      </c>
    </row>
    <row r="102" spans="2:7" ht="12.75">
      <c r="B102" s="481"/>
      <c r="C102" s="276"/>
      <c r="D102" s="31" t="s">
        <v>41</v>
      </c>
      <c r="E102" s="39"/>
      <c r="F102" s="39">
        <f t="shared" si="4"/>
        <v>0</v>
      </c>
      <c r="G102" s="356">
        <f t="shared" si="4"/>
        <v>0</v>
      </c>
    </row>
    <row r="103" spans="2:7" ht="12.75">
      <c r="B103" s="481"/>
      <c r="C103" s="276"/>
      <c r="D103" s="31" t="s">
        <v>349</v>
      </c>
      <c r="E103" s="39"/>
      <c r="F103" s="39">
        <f t="shared" si="4"/>
        <v>0</v>
      </c>
      <c r="G103" s="356">
        <f t="shared" si="4"/>
        <v>0</v>
      </c>
    </row>
    <row r="104" spans="2:7" ht="12.75">
      <c r="B104" s="481"/>
      <c r="C104" s="276"/>
      <c r="D104" s="31" t="s">
        <v>350</v>
      </c>
      <c r="E104" s="39"/>
      <c r="F104" s="39">
        <f t="shared" si="4"/>
        <v>0</v>
      </c>
      <c r="G104" s="356">
        <f t="shared" si="4"/>
        <v>0</v>
      </c>
    </row>
    <row r="105" spans="2:7" ht="12.75">
      <c r="B105" s="481"/>
      <c r="C105" s="276"/>
      <c r="D105" s="31" t="s">
        <v>353</v>
      </c>
      <c r="E105" s="39">
        <v>36548</v>
      </c>
      <c r="F105" s="39">
        <f>ROUND(E105*1,)</f>
        <v>36548</v>
      </c>
      <c r="G105" s="356">
        <f t="shared" si="4"/>
        <v>37279</v>
      </c>
    </row>
    <row r="106" spans="2:7" ht="12.75">
      <c r="B106" s="481"/>
      <c r="C106" s="150"/>
      <c r="D106" s="31" t="s">
        <v>42</v>
      </c>
      <c r="E106" s="22">
        <v>15000</v>
      </c>
      <c r="F106" s="22">
        <f>ROUND(E106*1,)</f>
        <v>15000</v>
      </c>
      <c r="G106" s="342">
        <f t="shared" si="4"/>
        <v>15300</v>
      </c>
    </row>
    <row r="107" spans="2:9" ht="12.75">
      <c r="B107" s="481"/>
      <c r="C107" s="150"/>
      <c r="D107" s="31" t="s">
        <v>262</v>
      </c>
      <c r="E107" s="22">
        <v>128350</v>
      </c>
      <c r="F107" s="22">
        <f>ROUND(E107*1,)</f>
        <v>128350</v>
      </c>
      <c r="G107" s="342">
        <f>ROUND(F107*1.02,)</f>
        <v>130917</v>
      </c>
      <c r="I107" s="9"/>
    </row>
    <row r="108" spans="2:11" ht="12.75">
      <c r="B108" s="481"/>
      <c r="C108" s="150"/>
      <c r="D108" s="31" t="s">
        <v>263</v>
      </c>
      <c r="E108" s="22">
        <v>84300</v>
      </c>
      <c r="F108" s="22">
        <f>ROUND(E108*1,)</f>
        <v>84300</v>
      </c>
      <c r="G108" s="342">
        <f>ROUND(F108*1.02,)</f>
        <v>85986</v>
      </c>
      <c r="J108" s="9"/>
      <c r="K108" s="9"/>
    </row>
    <row r="109" spans="2:7" ht="13.5" thickBot="1">
      <c r="B109" s="480"/>
      <c r="C109" s="150"/>
      <c r="D109" s="32" t="s">
        <v>264</v>
      </c>
      <c r="E109" s="24">
        <v>43590</v>
      </c>
      <c r="F109" s="24">
        <f>ROUND(E109*1,)</f>
        <v>43590</v>
      </c>
      <c r="G109" s="351">
        <f>ROUND(F109*1.02,)</f>
        <v>44462</v>
      </c>
    </row>
    <row r="110" spans="2:7" s="37" customFormat="1" ht="15.75" thickBot="1">
      <c r="B110" s="130" t="s">
        <v>161</v>
      </c>
      <c r="C110" s="433" t="s">
        <v>162</v>
      </c>
      <c r="D110" s="434"/>
      <c r="E110" s="102">
        <f>SUM(E111:E112)</f>
        <v>56500</v>
      </c>
      <c r="F110" s="102">
        <f>SUM(F111:F112)</f>
        <v>56500</v>
      </c>
      <c r="G110" s="325">
        <f>SUM(G111:G112)</f>
        <v>57630</v>
      </c>
    </row>
    <row r="111" spans="2:7" ht="12.75">
      <c r="B111" s="479"/>
      <c r="C111" s="131">
        <v>630</v>
      </c>
      <c r="D111" s="30" t="s">
        <v>163</v>
      </c>
      <c r="E111" s="20">
        <v>46500</v>
      </c>
      <c r="F111" s="20">
        <f>ROUND(E111*1,)</f>
        <v>46500</v>
      </c>
      <c r="G111" s="341">
        <f>ROUND(F111*1.02,)</f>
        <v>47430</v>
      </c>
    </row>
    <row r="112" spans="2:7" ht="13.5" thickBot="1">
      <c r="B112" s="480"/>
      <c r="C112" s="133">
        <v>630</v>
      </c>
      <c r="D112" s="32" t="s">
        <v>164</v>
      </c>
      <c r="E112" s="24">
        <v>10000</v>
      </c>
      <c r="F112" s="24">
        <v>10000</v>
      </c>
      <c r="G112" s="351">
        <f>ROUND(F112*1.02,)</f>
        <v>10200</v>
      </c>
    </row>
    <row r="113" spans="2:7" s="35" customFormat="1" ht="15.75" thickBot="1">
      <c r="B113" s="109" t="s">
        <v>43</v>
      </c>
      <c r="C113" s="433" t="s">
        <v>44</v>
      </c>
      <c r="D113" s="434"/>
      <c r="E113" s="41">
        <f>SUM(E114:E116)</f>
        <v>38120</v>
      </c>
      <c r="F113" s="41">
        <f>SUM(F114:F116)</f>
        <v>38120</v>
      </c>
      <c r="G113" s="315">
        <f>SUM(G114:G116)</f>
        <v>38882</v>
      </c>
    </row>
    <row r="114" spans="2:7" ht="12.75">
      <c r="B114" s="451"/>
      <c r="C114" s="491"/>
      <c r="D114" s="21" t="s">
        <v>198</v>
      </c>
      <c r="E114" s="22">
        <f>4000+120</f>
        <v>4120</v>
      </c>
      <c r="F114" s="22">
        <f>ROUND(E114*1,)</f>
        <v>4120</v>
      </c>
      <c r="G114" s="342">
        <f>ROUND(F114*1.02,)</f>
        <v>4202</v>
      </c>
    </row>
    <row r="115" spans="2:7" ht="12.75">
      <c r="B115" s="451"/>
      <c r="C115" s="492"/>
      <c r="D115" s="21" t="s">
        <v>351</v>
      </c>
      <c r="E115" s="34">
        <v>30000</v>
      </c>
      <c r="F115" s="34">
        <f>ROUND(E115*1,)</f>
        <v>30000</v>
      </c>
      <c r="G115" s="345">
        <f>ROUND(F115*1.02,)</f>
        <v>30600</v>
      </c>
    </row>
    <row r="116" spans="2:7" ht="13.5" thickBot="1">
      <c r="B116" s="452"/>
      <c r="C116" s="496"/>
      <c r="D116" s="217" t="s">
        <v>197</v>
      </c>
      <c r="E116" s="24">
        <f>5000-1000</f>
        <v>4000</v>
      </c>
      <c r="F116" s="24">
        <f>ROUND(E116*1,)</f>
        <v>4000</v>
      </c>
      <c r="G116" s="351">
        <f>ROUND(F116*1.02,)</f>
        <v>4080</v>
      </c>
    </row>
    <row r="117" spans="2:7" s="35" customFormat="1" ht="15.75" thickBot="1">
      <c r="B117" s="308" t="s">
        <v>75</v>
      </c>
      <c r="C117" s="497" t="s">
        <v>45</v>
      </c>
      <c r="D117" s="498"/>
      <c r="E117" s="189">
        <f>E118+E122</f>
        <v>4009556</v>
      </c>
      <c r="F117" s="189">
        <f>F118+F122</f>
        <v>4024097</v>
      </c>
      <c r="G117" s="357">
        <f>G118+G122</f>
        <v>4104578</v>
      </c>
    </row>
    <row r="118" spans="2:7" s="233" customFormat="1" ht="14.25" thickBot="1" thickTop="1">
      <c r="B118" s="453"/>
      <c r="C118" s="494" t="s">
        <v>46</v>
      </c>
      <c r="D118" s="495"/>
      <c r="E118" s="309">
        <f>SUM(E119:E121)</f>
        <v>33265</v>
      </c>
      <c r="F118" s="309">
        <f>SUM(F119:F121)</f>
        <v>30480</v>
      </c>
      <c r="G118" s="358">
        <f>SUM(G119:G121)</f>
        <v>31089</v>
      </c>
    </row>
    <row r="119" spans="2:7" ht="12.75">
      <c r="B119" s="451"/>
      <c r="C119" s="152">
        <v>610</v>
      </c>
      <c r="D119" s="40" t="s">
        <v>2</v>
      </c>
      <c r="E119" s="39">
        <f>22220+800</f>
        <v>23020</v>
      </c>
      <c r="F119" s="39">
        <v>22220</v>
      </c>
      <c r="G119" s="356">
        <f>ROUND(F119*1.02,)</f>
        <v>22664</v>
      </c>
    </row>
    <row r="120" spans="2:7" ht="12.75">
      <c r="B120" s="451"/>
      <c r="C120" s="132">
        <v>620</v>
      </c>
      <c r="D120" s="21" t="s">
        <v>3</v>
      </c>
      <c r="E120" s="22">
        <f>6060+300+1685</f>
        <v>8045</v>
      </c>
      <c r="F120" s="22">
        <v>6060</v>
      </c>
      <c r="G120" s="342">
        <f>ROUND(F120*1.02,)</f>
        <v>6181</v>
      </c>
    </row>
    <row r="121" spans="2:7" ht="13.5" thickBot="1">
      <c r="B121" s="451"/>
      <c r="C121" s="133">
        <v>630</v>
      </c>
      <c r="D121" s="23" t="s">
        <v>66</v>
      </c>
      <c r="E121" s="24">
        <f>2390-190</f>
        <v>2200</v>
      </c>
      <c r="F121" s="24">
        <f>ROUND(E121*1,)</f>
        <v>2200</v>
      </c>
      <c r="G121" s="351">
        <f>ROUND(F121*1.02,)</f>
        <v>2244</v>
      </c>
    </row>
    <row r="122" spans="2:7" ht="13.5" thickBot="1">
      <c r="B122" s="451"/>
      <c r="C122" s="456" t="s">
        <v>166</v>
      </c>
      <c r="D122" s="457"/>
      <c r="E122" s="36">
        <f>SUM(E123:E129)</f>
        <v>3976291</v>
      </c>
      <c r="F122" s="36">
        <f>SUM(F123:F129)</f>
        <v>3993617</v>
      </c>
      <c r="G122" s="359">
        <f>SUM(G123:G129)</f>
        <v>4073489</v>
      </c>
    </row>
    <row r="123" spans="2:7" ht="12.75">
      <c r="B123" s="451"/>
      <c r="C123" s="491"/>
      <c r="D123" s="40" t="s">
        <v>303</v>
      </c>
      <c r="E123" s="39">
        <v>1800000</v>
      </c>
      <c r="F123" s="39">
        <f>ROUND(E123*1.04,)</f>
        <v>1872000</v>
      </c>
      <c r="G123" s="356">
        <f aca="true" t="shared" si="5" ref="G123:G129">ROUND(F123*1.02,)</f>
        <v>1909440</v>
      </c>
    </row>
    <row r="124" spans="2:7" ht="12.75">
      <c r="B124" s="451"/>
      <c r="C124" s="492"/>
      <c r="D124" s="21" t="s">
        <v>304</v>
      </c>
      <c r="E124" s="22">
        <f>1776916+87557+300</f>
        <v>1864773</v>
      </c>
      <c r="F124" s="22">
        <f>ROUND(E124*1,)</f>
        <v>1864773</v>
      </c>
      <c r="G124" s="342">
        <f t="shared" si="5"/>
        <v>1902068</v>
      </c>
    </row>
    <row r="125" spans="2:7" ht="12.75">
      <c r="B125" s="451"/>
      <c r="C125" s="492"/>
      <c r="D125" s="33" t="s">
        <v>371</v>
      </c>
      <c r="E125" s="34">
        <v>2651</v>
      </c>
      <c r="F125" s="34"/>
      <c r="G125" s="345">
        <f t="shared" si="5"/>
        <v>0</v>
      </c>
    </row>
    <row r="126" spans="2:7" ht="12.75">
      <c r="B126" s="451"/>
      <c r="C126" s="492"/>
      <c r="D126" s="33" t="s">
        <v>374</v>
      </c>
      <c r="E126" s="34">
        <v>30370</v>
      </c>
      <c r="F126" s="34"/>
      <c r="G126" s="345">
        <f t="shared" si="5"/>
        <v>0</v>
      </c>
    </row>
    <row r="127" spans="2:7" ht="12.75">
      <c r="B127" s="451"/>
      <c r="C127" s="492"/>
      <c r="D127" s="33" t="s">
        <v>373</v>
      </c>
      <c r="E127" s="34">
        <v>24196</v>
      </c>
      <c r="F127" s="34"/>
      <c r="G127" s="345">
        <f t="shared" si="5"/>
        <v>0</v>
      </c>
    </row>
    <row r="128" spans="2:7" ht="13.5" customHeight="1">
      <c r="B128" s="451"/>
      <c r="C128" s="492"/>
      <c r="D128" s="33" t="s">
        <v>225</v>
      </c>
      <c r="E128" s="34">
        <v>254301</v>
      </c>
      <c r="F128" s="34">
        <f>ROUND(E128*1.01,)</f>
        <v>256844</v>
      </c>
      <c r="G128" s="345">
        <f t="shared" si="5"/>
        <v>261981</v>
      </c>
    </row>
    <row r="129" spans="2:7" ht="13.5" thickBot="1">
      <c r="B129" s="454"/>
      <c r="C129" s="493"/>
      <c r="D129" s="122" t="s">
        <v>47</v>
      </c>
      <c r="E129" s="123"/>
      <c r="F129" s="123">
        <f>ROUND(E129*1.01,)</f>
        <v>0</v>
      </c>
      <c r="G129" s="360">
        <f t="shared" si="5"/>
        <v>0</v>
      </c>
    </row>
    <row r="130" spans="2:7" ht="13.5" customHeight="1" thickTop="1">
      <c r="B130" s="465" t="s">
        <v>63</v>
      </c>
      <c r="C130" s="467" t="s">
        <v>64</v>
      </c>
      <c r="D130" s="469" t="s">
        <v>65</v>
      </c>
      <c r="E130" s="422" t="s">
        <v>334</v>
      </c>
      <c r="F130" s="422" t="s">
        <v>401</v>
      </c>
      <c r="G130" s="408" t="s">
        <v>402</v>
      </c>
    </row>
    <row r="131" spans="2:7" ht="24.75" customHeight="1" thickBot="1">
      <c r="B131" s="466"/>
      <c r="C131" s="468"/>
      <c r="D131" s="470"/>
      <c r="E131" s="423"/>
      <c r="F131" s="423"/>
      <c r="G131" s="409"/>
    </row>
    <row r="132" spans="2:7" s="35" customFormat="1" ht="16.5" thickBot="1" thickTop="1">
      <c r="B132" s="110" t="s">
        <v>72</v>
      </c>
      <c r="C132" s="433" t="s">
        <v>48</v>
      </c>
      <c r="D132" s="434"/>
      <c r="E132" s="41">
        <f>SUM(E133:E135)</f>
        <v>29488</v>
      </c>
      <c r="F132" s="41">
        <f>SUM(F133:F135)</f>
        <v>28038</v>
      </c>
      <c r="G132" s="315">
        <f>SUM(G133:G135)</f>
        <v>28599</v>
      </c>
    </row>
    <row r="133" spans="2:7" s="35" customFormat="1" ht="12.75" customHeight="1">
      <c r="B133" s="488"/>
      <c r="C133" s="152">
        <v>610</v>
      </c>
      <c r="D133" s="40" t="s">
        <v>2</v>
      </c>
      <c r="E133" s="39">
        <v>18887</v>
      </c>
      <c r="F133" s="39">
        <v>18887</v>
      </c>
      <c r="G133" s="356">
        <f>ROUND(F133*1.02,)</f>
        <v>19265</v>
      </c>
    </row>
    <row r="134" spans="2:7" s="35" customFormat="1" ht="12.75" customHeight="1">
      <c r="B134" s="489"/>
      <c r="C134" s="132">
        <v>620</v>
      </c>
      <c r="D134" s="21" t="s">
        <v>3</v>
      </c>
      <c r="E134" s="22">
        <f>5151+1450</f>
        <v>6601</v>
      </c>
      <c r="F134" s="22">
        <v>5151</v>
      </c>
      <c r="G134" s="342">
        <f>ROUND(F134*1.02,)</f>
        <v>5254</v>
      </c>
    </row>
    <row r="135" spans="2:7" ht="12.75" customHeight="1" thickBot="1">
      <c r="B135" s="490"/>
      <c r="C135" s="133">
        <v>630</v>
      </c>
      <c r="D135" s="23" t="s">
        <v>66</v>
      </c>
      <c r="E135" s="24">
        <f>4480-480</f>
        <v>4000</v>
      </c>
      <c r="F135" s="24">
        <v>4000</v>
      </c>
      <c r="G135" s="351">
        <f>ROUND(F135*1.02,)</f>
        <v>4080</v>
      </c>
    </row>
    <row r="136" spans="2:7" s="35" customFormat="1" ht="15.75" thickBot="1">
      <c r="B136" s="103" t="s">
        <v>77</v>
      </c>
      <c r="C136" s="433" t="s">
        <v>49</v>
      </c>
      <c r="D136" s="434"/>
      <c r="E136" s="41">
        <f>E137+E141</f>
        <v>53681</v>
      </c>
      <c r="F136" s="41">
        <f>F137+F141</f>
        <v>51142</v>
      </c>
      <c r="G136" s="315">
        <f>G137+G141</f>
        <v>52165</v>
      </c>
    </row>
    <row r="137" spans="2:7" ht="13.5" thickBot="1">
      <c r="B137" s="451"/>
      <c r="C137" s="482" t="s">
        <v>50</v>
      </c>
      <c r="D137" s="483"/>
      <c r="E137" s="12">
        <f>SUM(E138:E140)</f>
        <v>51124</v>
      </c>
      <c r="F137" s="12">
        <f>SUM(F138:F140)</f>
        <v>48534</v>
      </c>
      <c r="G137" s="361">
        <f>SUM(G138:G140)</f>
        <v>49505</v>
      </c>
    </row>
    <row r="138" spans="2:7" ht="12.75">
      <c r="B138" s="451"/>
      <c r="C138" s="152">
        <v>610</v>
      </c>
      <c r="D138" s="40" t="s">
        <v>2</v>
      </c>
      <c r="E138" s="39">
        <v>31108</v>
      </c>
      <c r="F138" s="39">
        <v>31108</v>
      </c>
      <c r="G138" s="356">
        <f>ROUND(F138*1.02,)</f>
        <v>31730</v>
      </c>
    </row>
    <row r="139" spans="2:7" ht="12.75">
      <c r="B139" s="451"/>
      <c r="C139" s="132">
        <v>620</v>
      </c>
      <c r="D139" s="21" t="s">
        <v>3</v>
      </c>
      <c r="E139" s="22">
        <f>8282+2590</f>
        <v>10872</v>
      </c>
      <c r="F139" s="22">
        <v>8282</v>
      </c>
      <c r="G139" s="342">
        <f>ROUND(F139*1.02,)</f>
        <v>8448</v>
      </c>
    </row>
    <row r="140" spans="2:7" ht="13.5" thickBot="1">
      <c r="B140" s="451"/>
      <c r="C140" s="133">
        <v>630</v>
      </c>
      <c r="D140" s="23" t="s">
        <v>66</v>
      </c>
      <c r="E140" s="24">
        <v>9144</v>
      </c>
      <c r="F140" s="24">
        <v>9144</v>
      </c>
      <c r="G140" s="351">
        <f>ROUND(F140*1.02,)</f>
        <v>9327</v>
      </c>
    </row>
    <row r="141" spans="2:7" ht="13.5" thickBot="1">
      <c r="B141" s="451"/>
      <c r="C141" s="456" t="s">
        <v>51</v>
      </c>
      <c r="D141" s="457"/>
      <c r="E141" s="186">
        <f>E142</f>
        <v>2557</v>
      </c>
      <c r="F141" s="186">
        <f>F142</f>
        <v>2608</v>
      </c>
      <c r="G141" s="362">
        <f>G142</f>
        <v>2660</v>
      </c>
    </row>
    <row r="142" spans="2:7" ht="13.5" thickBot="1">
      <c r="B142" s="454"/>
      <c r="C142" s="218">
        <v>630</v>
      </c>
      <c r="D142" s="122" t="s">
        <v>66</v>
      </c>
      <c r="E142" s="123">
        <v>2557</v>
      </c>
      <c r="F142" s="123">
        <v>2608</v>
      </c>
      <c r="G142" s="360">
        <f>ROUND(F142*1.02,)</f>
        <v>2660</v>
      </c>
    </row>
    <row r="143" spans="2:7" s="37" customFormat="1" ht="16.5" thickBot="1" thickTop="1">
      <c r="B143" s="188" t="s">
        <v>78</v>
      </c>
      <c r="C143" s="433" t="s">
        <v>79</v>
      </c>
      <c r="D143" s="434"/>
      <c r="E143" s="41">
        <f>SUM(E144:E147)</f>
        <v>153747</v>
      </c>
      <c r="F143" s="41">
        <f>SUM(F144:F147)</f>
        <v>143009</v>
      </c>
      <c r="G143" s="315">
        <f>SUM(G144:G147)</f>
        <v>145853</v>
      </c>
    </row>
    <row r="144" spans="2:7" ht="12.75">
      <c r="B144" s="455"/>
      <c r="C144" s="131">
        <v>610</v>
      </c>
      <c r="D144" s="19" t="s">
        <v>2</v>
      </c>
      <c r="E144" s="20">
        <v>108171</v>
      </c>
      <c r="F144" s="20">
        <v>108171</v>
      </c>
      <c r="G144" s="341">
        <f>ROUND(F144*1.02,)</f>
        <v>110334</v>
      </c>
    </row>
    <row r="145" spans="2:7" ht="12.75">
      <c r="B145" s="451"/>
      <c r="C145" s="132">
        <v>620</v>
      </c>
      <c r="D145" s="21" t="s">
        <v>3</v>
      </c>
      <c r="E145" s="22">
        <f>27068+10738</f>
        <v>37806</v>
      </c>
      <c r="F145" s="22">
        <v>27068</v>
      </c>
      <c r="G145" s="342">
        <f>ROUND(F145*1.02,)</f>
        <v>27609</v>
      </c>
    </row>
    <row r="146" spans="2:7" ht="13.5" thickBot="1">
      <c r="B146" s="451"/>
      <c r="C146" s="133">
        <v>630</v>
      </c>
      <c r="D146" s="23" t="s">
        <v>66</v>
      </c>
      <c r="E146" s="24">
        <f>7770-800</f>
        <v>6970</v>
      </c>
      <c r="F146" s="24">
        <v>6970</v>
      </c>
      <c r="G146" s="351">
        <f>ROUND(F146*1.02,)</f>
        <v>7109</v>
      </c>
    </row>
    <row r="147" spans="2:7" ht="13.5" thickBot="1">
      <c r="B147" s="452"/>
      <c r="C147" s="141">
        <v>630</v>
      </c>
      <c r="D147" s="217" t="s">
        <v>305</v>
      </c>
      <c r="E147" s="216">
        <v>800</v>
      </c>
      <c r="F147" s="216">
        <v>800</v>
      </c>
      <c r="G147" s="352">
        <v>801</v>
      </c>
    </row>
    <row r="148" spans="2:7" s="37" customFormat="1" ht="15.75" thickBot="1">
      <c r="B148" s="219" t="s">
        <v>52</v>
      </c>
      <c r="C148" s="441" t="s">
        <v>80</v>
      </c>
      <c r="D148" s="442"/>
      <c r="E148" s="102">
        <f>SUM(E149:E151)</f>
        <v>48989</v>
      </c>
      <c r="F148" s="102">
        <f>SUM(F149:F151)</f>
        <v>46964</v>
      </c>
      <c r="G148" s="325">
        <f>SUM(G149:G151)</f>
        <v>47904</v>
      </c>
    </row>
    <row r="149" spans="2:7" s="37" customFormat="1" ht="12.75" customHeight="1">
      <c r="B149" s="448"/>
      <c r="C149" s="131">
        <v>610</v>
      </c>
      <c r="D149" s="19" t="s">
        <v>2</v>
      </c>
      <c r="E149" s="20">
        <v>29492</v>
      </c>
      <c r="F149" s="20">
        <v>29492</v>
      </c>
      <c r="G149" s="341">
        <f>ROUND(F149*1.02,)</f>
        <v>30082</v>
      </c>
    </row>
    <row r="150" spans="2:7" s="37" customFormat="1" ht="12.75" customHeight="1">
      <c r="B150" s="449"/>
      <c r="C150" s="132">
        <v>620</v>
      </c>
      <c r="D150" s="21" t="s">
        <v>3</v>
      </c>
      <c r="E150" s="22">
        <f>8282+2025</f>
        <v>10307</v>
      </c>
      <c r="F150" s="22">
        <v>8282</v>
      </c>
      <c r="G150" s="342">
        <f>ROUND(F150*1.02,)</f>
        <v>8448</v>
      </c>
    </row>
    <row r="151" spans="2:7" s="37" customFormat="1" ht="12.75" customHeight="1" thickBot="1">
      <c r="B151" s="450"/>
      <c r="C151" s="133">
        <v>630</v>
      </c>
      <c r="D151" s="23" t="s">
        <v>66</v>
      </c>
      <c r="E151" s="24">
        <v>9190</v>
      </c>
      <c r="F151" s="24">
        <v>9190</v>
      </c>
      <c r="G151" s="351">
        <f>ROUND(F151*1.02,)</f>
        <v>9374</v>
      </c>
    </row>
    <row r="152" spans="2:7" s="35" customFormat="1" ht="30.75" customHeight="1" thickBot="1">
      <c r="B152" s="220" t="s">
        <v>53</v>
      </c>
      <c r="C152" s="462" t="s">
        <v>76</v>
      </c>
      <c r="D152" s="463"/>
      <c r="E152" s="397">
        <f>E153+E157</f>
        <v>128700</v>
      </c>
      <c r="F152" s="221">
        <f>F153+F157</f>
        <v>123921</v>
      </c>
      <c r="G152" s="363">
        <f>G153+G157</f>
        <v>126399</v>
      </c>
    </row>
    <row r="153" spans="2:7" s="35" customFormat="1" ht="12.75" customHeight="1" thickBot="1">
      <c r="B153" s="460"/>
      <c r="C153" s="458" t="s">
        <v>54</v>
      </c>
      <c r="D153" s="459"/>
      <c r="E153" s="266">
        <f>SUM(E154:E156)</f>
        <v>66460</v>
      </c>
      <c r="F153" s="266">
        <f>SUM(F154:F156)</f>
        <v>61681</v>
      </c>
      <c r="G153" s="364">
        <f>SUM(G154:G156)</f>
        <v>62914</v>
      </c>
    </row>
    <row r="154" spans="2:7" s="35" customFormat="1" ht="12.75" customHeight="1">
      <c r="B154" s="461"/>
      <c r="C154" s="152">
        <v>610</v>
      </c>
      <c r="D154" s="40" t="s">
        <v>2</v>
      </c>
      <c r="E154" s="398">
        <v>47773</v>
      </c>
      <c r="F154" s="267">
        <v>47773</v>
      </c>
      <c r="G154" s="365">
        <f>ROUND(F154*1.02,)</f>
        <v>48728</v>
      </c>
    </row>
    <row r="155" spans="2:7" s="35" customFormat="1" ht="12.75" customHeight="1">
      <c r="B155" s="461"/>
      <c r="C155" s="132">
        <v>620</v>
      </c>
      <c r="D155" s="21" t="s">
        <v>3</v>
      </c>
      <c r="E155" s="399">
        <f>11918+4779</f>
        <v>16697</v>
      </c>
      <c r="F155" s="268">
        <v>11918</v>
      </c>
      <c r="G155" s="366">
        <f>ROUND(F155*1.02,)</f>
        <v>12156</v>
      </c>
    </row>
    <row r="156" spans="2:7" ht="13.5" thickBot="1">
      <c r="B156" s="461"/>
      <c r="C156" s="133">
        <v>630</v>
      </c>
      <c r="D156" s="23" t="s">
        <v>66</v>
      </c>
      <c r="E156" s="24">
        <v>1990</v>
      </c>
      <c r="F156" s="24">
        <v>1990</v>
      </c>
      <c r="G156" s="351">
        <f>ROUND(F156*1.02,)</f>
        <v>2030</v>
      </c>
    </row>
    <row r="157" spans="2:7" ht="13.5" thickBot="1">
      <c r="B157" s="461"/>
      <c r="C157" s="456" t="s">
        <v>191</v>
      </c>
      <c r="D157" s="457"/>
      <c r="E157" s="36">
        <f>SUM(E158:E163)</f>
        <v>62240</v>
      </c>
      <c r="F157" s="36">
        <f>SUM(F158:F163)</f>
        <v>62240</v>
      </c>
      <c r="G157" s="359">
        <f>SUM(G158:G163)</f>
        <v>63485</v>
      </c>
    </row>
    <row r="158" spans="2:7" ht="12.75">
      <c r="B158" s="461"/>
      <c r="C158" s="153"/>
      <c r="D158" s="114" t="s">
        <v>55</v>
      </c>
      <c r="E158" s="39">
        <v>6310</v>
      </c>
      <c r="F158" s="39">
        <v>6310</v>
      </c>
      <c r="G158" s="356">
        <f aca="true" t="shared" si="6" ref="G158:G163">ROUND(F158*1.02,)</f>
        <v>6436</v>
      </c>
    </row>
    <row r="159" spans="2:7" ht="12.75">
      <c r="B159" s="461"/>
      <c r="C159" s="151"/>
      <c r="D159" s="31" t="s">
        <v>270</v>
      </c>
      <c r="E159" s="22">
        <v>2490</v>
      </c>
      <c r="F159" s="22">
        <v>2490</v>
      </c>
      <c r="G159" s="342">
        <f t="shared" si="6"/>
        <v>2540</v>
      </c>
    </row>
    <row r="160" spans="2:7" ht="12.75">
      <c r="B160" s="461"/>
      <c r="C160" s="151">
        <v>630</v>
      </c>
      <c r="D160" s="31" t="s">
        <v>56</v>
      </c>
      <c r="E160" s="22">
        <v>36510</v>
      </c>
      <c r="F160" s="22">
        <v>36510</v>
      </c>
      <c r="G160" s="342">
        <f t="shared" si="6"/>
        <v>37240</v>
      </c>
    </row>
    <row r="161" spans="2:11" ht="12.75">
      <c r="B161" s="461"/>
      <c r="C161" s="151">
        <v>630</v>
      </c>
      <c r="D161" s="31" t="s">
        <v>57</v>
      </c>
      <c r="E161" s="22"/>
      <c r="F161" s="22">
        <v>0</v>
      </c>
      <c r="G161" s="342">
        <f t="shared" si="6"/>
        <v>0</v>
      </c>
      <c r="I161" s="9"/>
      <c r="K161" s="9"/>
    </row>
    <row r="162" spans="2:9" ht="12.75">
      <c r="B162" s="461"/>
      <c r="C162" s="151">
        <v>630</v>
      </c>
      <c r="D162" s="31" t="s">
        <v>58</v>
      </c>
      <c r="E162" s="22">
        <v>16600</v>
      </c>
      <c r="F162" s="22">
        <v>16600</v>
      </c>
      <c r="G162" s="342">
        <f t="shared" si="6"/>
        <v>16932</v>
      </c>
      <c r="I162" s="9"/>
    </row>
    <row r="163" spans="2:7" ht="13.5" thickBot="1">
      <c r="B163" s="461"/>
      <c r="C163" s="151">
        <v>630</v>
      </c>
      <c r="D163" s="31" t="s">
        <v>59</v>
      </c>
      <c r="E163" s="22">
        <v>330</v>
      </c>
      <c r="F163" s="22">
        <v>330</v>
      </c>
      <c r="G163" s="342">
        <f t="shared" si="6"/>
        <v>337</v>
      </c>
    </row>
    <row r="164" spans="2:7" s="38" customFormat="1" ht="17.25" thickBot="1" thickTop="1">
      <c r="B164" s="111"/>
      <c r="C164" s="169"/>
      <c r="D164" s="112" t="s">
        <v>62</v>
      </c>
      <c r="E164" s="113">
        <f>E4+E11+E14+E22+E24+E26+E31+E33+E37+E43+E48+E60+E67+E71+E75+E79+E90+E92+E97+E100+E110+E113+E117+E132+E136+E143+E148+E152+E94+E18+E39</f>
        <v>8527009</v>
      </c>
      <c r="F164" s="113">
        <f>F4+F11+F14+F22+F24+F26+F31+F33+F37+F43+F48+F60+F67+F71+F75+F79+F90+F92+F97+F100+F110+F113+F117+F132+F136+F143+F148+F152+F94+F18+F39</f>
        <v>8110574</v>
      </c>
      <c r="G164" s="333">
        <f>G4+G11+G14+G22+G24+G26+G31+G33+G37+G43+G48+G60+G67+G71+G75+G79+G90+G92+G97+G100+G110+G113+G117+G132+G136+G143+G148+G152+G94+G18+G39</f>
        <v>8272467</v>
      </c>
    </row>
    <row r="165" ht="13.5" thickTop="1"/>
    <row r="166" spans="5:7" ht="12.75">
      <c r="E166" s="400"/>
      <c r="F166" s="9"/>
      <c r="G166" s="7"/>
    </row>
    <row r="173" spans="2:7" ht="12.75">
      <c r="B173" s="18"/>
      <c r="C173" s="155"/>
      <c r="D173" s="18"/>
      <c r="E173" s="18"/>
      <c r="F173" s="18"/>
      <c r="G173" s="18"/>
    </row>
  </sheetData>
  <sheetProtection/>
  <mergeCells count="83">
    <mergeCell ref="E130:E131"/>
    <mergeCell ref="F130:F131"/>
    <mergeCell ref="B98:B99"/>
    <mergeCell ref="C90:D90"/>
    <mergeCell ref="G65:G66"/>
    <mergeCell ref="B130:B131"/>
    <mergeCell ref="C130:C131"/>
    <mergeCell ref="D130:D131"/>
    <mergeCell ref="G130:G131"/>
    <mergeCell ref="B95:B96"/>
    <mergeCell ref="B76:B78"/>
    <mergeCell ref="C67:D67"/>
    <mergeCell ref="B27:B30"/>
    <mergeCell ref="C110:D110"/>
    <mergeCell ref="C100:D100"/>
    <mergeCell ref="F65:F66"/>
    <mergeCell ref="C71:D71"/>
    <mergeCell ref="B65:B66"/>
    <mergeCell ref="C65:C66"/>
    <mergeCell ref="D65:D66"/>
    <mergeCell ref="B68:B70"/>
    <mergeCell ref="E65:E66"/>
    <mergeCell ref="B49:B59"/>
    <mergeCell ref="C49:D49"/>
    <mergeCell ref="C113:D113"/>
    <mergeCell ref="B133:B135"/>
    <mergeCell ref="C123:C129"/>
    <mergeCell ref="C118:D118"/>
    <mergeCell ref="C114:C116"/>
    <mergeCell ref="C117:D117"/>
    <mergeCell ref="C94:D94"/>
    <mergeCell ref="C97:D97"/>
    <mergeCell ref="C137:D137"/>
    <mergeCell ref="C60:D60"/>
    <mergeCell ref="B72:B74"/>
    <mergeCell ref="B61:B63"/>
    <mergeCell ref="C92:D92"/>
    <mergeCell ref="C79:D79"/>
    <mergeCell ref="C75:D75"/>
    <mergeCell ref="B80:B89"/>
    <mergeCell ref="B111:B112"/>
    <mergeCell ref="B101:B109"/>
    <mergeCell ref="C141:D141"/>
    <mergeCell ref="B12:B13"/>
    <mergeCell ref="C22:D22"/>
    <mergeCell ref="C37:D37"/>
    <mergeCell ref="C18:D18"/>
    <mergeCell ref="C31:D31"/>
    <mergeCell ref="C14:D14"/>
    <mergeCell ref="C26:D26"/>
    <mergeCell ref="B34:B36"/>
    <mergeCell ref="B15:B17"/>
    <mergeCell ref="C4:D4"/>
    <mergeCell ref="B5:B10"/>
    <mergeCell ref="C48:D48"/>
    <mergeCell ref="B44:B47"/>
    <mergeCell ref="C24:D24"/>
    <mergeCell ref="C11:D11"/>
    <mergeCell ref="B40:B42"/>
    <mergeCell ref="C33:D33"/>
    <mergeCell ref="C43:D43"/>
    <mergeCell ref="C39:D39"/>
    <mergeCell ref="B1:G1"/>
    <mergeCell ref="G2:G3"/>
    <mergeCell ref="E2:E3"/>
    <mergeCell ref="B2:B3"/>
    <mergeCell ref="C2:C3"/>
    <mergeCell ref="F2:F3"/>
    <mergeCell ref="D2:D3"/>
    <mergeCell ref="C153:D153"/>
    <mergeCell ref="B153:B163"/>
    <mergeCell ref="C157:D157"/>
    <mergeCell ref="C152:D152"/>
    <mergeCell ref="B149:B151"/>
    <mergeCell ref="B114:B116"/>
    <mergeCell ref="C148:D148"/>
    <mergeCell ref="B118:B129"/>
    <mergeCell ref="C132:D132"/>
    <mergeCell ref="B144:B147"/>
    <mergeCell ref="C143:D143"/>
    <mergeCell ref="C122:D122"/>
    <mergeCell ref="B137:B142"/>
    <mergeCell ref="C136:D136"/>
  </mergeCells>
  <conditionalFormatting sqref="H179:H65536 H1">
    <cfRule type="cellIs" priority="1" dxfId="0" operator="greaterThan" stopIfTrue="1">
      <formula>1</formula>
    </cfRule>
  </conditionalFormatting>
  <printOptions/>
  <pageMargins left="0.25" right="0.25" top="0.27" bottom="0.16" header="0.27" footer="0.16"/>
  <pageSetup horizontalDpi="300" verticalDpi="300" orientation="portrait" paperSize="9" scale="92" r:id="rId1"/>
  <ignoredErrors>
    <ignoredError sqref="C61:C63 C69" numberStoredAsText="1"/>
    <ignoredError sqref="B39 B43 B11 B9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K37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0.13671875" style="0" customWidth="1"/>
    <col min="3" max="3" width="7.7109375" style="128" customWidth="1"/>
    <col min="4" max="4" width="36.8515625" style="0" customWidth="1"/>
    <col min="5" max="6" width="11.421875" style="0" customWidth="1"/>
    <col min="7" max="7" width="12.57421875" style="0" customWidth="1"/>
  </cols>
  <sheetData>
    <row r="1" ht="12.75">
      <c r="B1" s="42" t="s">
        <v>143</v>
      </c>
    </row>
    <row r="2" ht="13.5" thickBot="1">
      <c r="B2" s="42" t="s">
        <v>144</v>
      </c>
    </row>
    <row r="3" spans="2:7" ht="13.5" customHeight="1" thickTop="1">
      <c r="B3" s="426" t="s">
        <v>118</v>
      </c>
      <c r="C3" s="418" t="s">
        <v>64</v>
      </c>
      <c r="D3" s="422" t="s">
        <v>133</v>
      </c>
      <c r="E3" s="422" t="s">
        <v>334</v>
      </c>
      <c r="F3" s="422" t="s">
        <v>401</v>
      </c>
      <c r="G3" s="422" t="s">
        <v>402</v>
      </c>
    </row>
    <row r="4" spans="2:7" ht="25.5" customHeight="1" thickBot="1">
      <c r="B4" s="427"/>
      <c r="C4" s="419"/>
      <c r="D4" s="423"/>
      <c r="E4" s="423"/>
      <c r="F4" s="423"/>
      <c r="G4" s="423"/>
    </row>
    <row r="5" spans="2:7" s="68" customFormat="1" ht="17.25" thickBot="1" thickTop="1">
      <c r="B5" s="162">
        <v>200</v>
      </c>
      <c r="C5" s="431" t="s">
        <v>125</v>
      </c>
      <c r="D5" s="432"/>
      <c r="E5" s="222">
        <f>E6</f>
        <v>335221</v>
      </c>
      <c r="F5" s="370">
        <f>F6</f>
        <v>49790</v>
      </c>
      <c r="G5" s="371">
        <f>G6</f>
        <v>49790</v>
      </c>
    </row>
    <row r="6" spans="2:7" s="49" customFormat="1" ht="15.75" thickBot="1">
      <c r="B6" s="163">
        <v>230</v>
      </c>
      <c r="C6" s="433" t="s">
        <v>134</v>
      </c>
      <c r="D6" s="434"/>
      <c r="E6" s="41">
        <f>E7+E10</f>
        <v>335221</v>
      </c>
      <c r="F6" s="41">
        <f>F7+F10</f>
        <v>49790</v>
      </c>
      <c r="G6" s="315">
        <f>G7+G10</f>
        <v>49790</v>
      </c>
    </row>
    <row r="7" spans="2:7" s="57" customFormat="1" ht="13.5" thickBot="1">
      <c r="B7" s="435"/>
      <c r="C7" s="127">
        <v>231</v>
      </c>
      <c r="D7" s="47" t="s">
        <v>140</v>
      </c>
      <c r="E7" s="3">
        <f>SUM(E8:E9)</f>
        <v>331901</v>
      </c>
      <c r="F7" s="3">
        <f>SUM(F8:F9)</f>
        <v>16600</v>
      </c>
      <c r="G7" s="322">
        <f>SUM(G8:G9)</f>
        <v>16600</v>
      </c>
    </row>
    <row r="8" spans="2:7" ht="12.75">
      <c r="B8" s="436"/>
      <c r="C8" s="410"/>
      <c r="D8" s="91" t="s">
        <v>135</v>
      </c>
      <c r="E8" s="76">
        <f>231901+100000</f>
        <v>331901</v>
      </c>
      <c r="F8" s="76">
        <v>16600</v>
      </c>
      <c r="G8" s="314">
        <v>16600</v>
      </c>
    </row>
    <row r="9" spans="2:7" ht="13.5" thickBot="1">
      <c r="B9" s="436"/>
      <c r="C9" s="412"/>
      <c r="D9" s="83" t="s">
        <v>136</v>
      </c>
      <c r="E9" s="63"/>
      <c r="F9" s="63">
        <v>0</v>
      </c>
      <c r="G9" s="329">
        <v>0</v>
      </c>
    </row>
    <row r="10" spans="2:7" ht="13.5" thickBot="1">
      <c r="B10" s="436"/>
      <c r="C10" s="156">
        <v>233</v>
      </c>
      <c r="D10" s="2" t="s">
        <v>141</v>
      </c>
      <c r="E10" s="3">
        <f>SUM(E11:E12)</f>
        <v>3320</v>
      </c>
      <c r="F10" s="3">
        <f>SUM(F11:F12)</f>
        <v>33190</v>
      </c>
      <c r="G10" s="322">
        <f>SUM(G11:G12)</f>
        <v>33190</v>
      </c>
    </row>
    <row r="11" spans="2:7" ht="12.75">
      <c r="B11" s="436"/>
      <c r="C11" s="410"/>
      <c r="D11" s="79" t="s">
        <v>137</v>
      </c>
      <c r="E11" s="59">
        <v>3320</v>
      </c>
      <c r="F11" s="59">
        <v>33190</v>
      </c>
      <c r="G11" s="328">
        <v>33190</v>
      </c>
    </row>
    <row r="12" spans="2:7" ht="13.5" thickBot="1">
      <c r="B12" s="436"/>
      <c r="C12" s="412"/>
      <c r="D12" s="83" t="s">
        <v>210</v>
      </c>
      <c r="E12" s="63"/>
      <c r="F12" s="63">
        <v>0</v>
      </c>
      <c r="G12" s="329">
        <v>0</v>
      </c>
    </row>
    <row r="13" spans="2:7" s="85" customFormat="1" ht="16.5" thickBot="1">
      <c r="B13" s="165">
        <v>300</v>
      </c>
      <c r="C13" s="437" t="s">
        <v>128</v>
      </c>
      <c r="D13" s="438"/>
      <c r="E13" s="92">
        <f>E14+E33</f>
        <v>4391876</v>
      </c>
      <c r="F13" s="92">
        <f>F14+F33</f>
        <v>341897</v>
      </c>
      <c r="G13" s="321">
        <f>G14+G33</f>
        <v>341897</v>
      </c>
    </row>
    <row r="14" spans="2:7" s="49" customFormat="1" ht="15.75" thickBot="1">
      <c r="B14" s="163">
        <v>320</v>
      </c>
      <c r="C14" s="433" t="s">
        <v>138</v>
      </c>
      <c r="D14" s="434"/>
      <c r="E14" s="93">
        <f>E15</f>
        <v>4391876</v>
      </c>
      <c r="F14" s="93">
        <f>F15</f>
        <v>341897</v>
      </c>
      <c r="G14" s="369">
        <f>G15</f>
        <v>341897</v>
      </c>
    </row>
    <row r="15" spans="2:7" s="57" customFormat="1" ht="13.5" thickBot="1">
      <c r="B15" s="503"/>
      <c r="C15" s="127">
        <v>321</v>
      </c>
      <c r="D15" s="47" t="s">
        <v>130</v>
      </c>
      <c r="E15" s="78">
        <f>SUM(E16:E32)</f>
        <v>4391876</v>
      </c>
      <c r="F15" s="78">
        <f>SUM(F16:F32)</f>
        <v>341897</v>
      </c>
      <c r="G15" s="78">
        <f>SUM(G16:G32)</f>
        <v>341897</v>
      </c>
    </row>
    <row r="16" spans="2:7" ht="12.75">
      <c r="B16" s="504"/>
      <c r="C16" s="410"/>
      <c r="D16" s="87" t="s">
        <v>358</v>
      </c>
      <c r="E16" s="64">
        <v>341897</v>
      </c>
      <c r="F16" s="64">
        <v>341897</v>
      </c>
      <c r="G16" s="368">
        <v>341897</v>
      </c>
    </row>
    <row r="17" spans="2:11" ht="12.75">
      <c r="B17" s="504"/>
      <c r="C17" s="411"/>
      <c r="D17" s="60" t="s">
        <v>382</v>
      </c>
      <c r="E17" s="61">
        <v>241760</v>
      </c>
      <c r="F17" s="61"/>
      <c r="G17" s="261"/>
      <c r="K17" s="44"/>
    </row>
    <row r="18" spans="2:7" ht="12.75">
      <c r="B18" s="504"/>
      <c r="C18" s="411"/>
      <c r="D18" s="60" t="s">
        <v>383</v>
      </c>
      <c r="E18" s="61">
        <v>117062</v>
      </c>
      <c r="F18" s="61"/>
      <c r="G18" s="261"/>
    </row>
    <row r="19" spans="2:7" ht="12.75">
      <c r="B19" s="504"/>
      <c r="C19" s="411"/>
      <c r="D19" s="60" t="s">
        <v>385</v>
      </c>
      <c r="E19" s="61">
        <v>1442525</v>
      </c>
      <c r="F19" s="61"/>
      <c r="G19" s="261"/>
    </row>
    <row r="20" spans="2:7" ht="12.75">
      <c r="B20" s="504"/>
      <c r="C20" s="411"/>
      <c r="D20" s="60" t="s">
        <v>384</v>
      </c>
      <c r="E20" s="61">
        <v>1202903</v>
      </c>
      <c r="F20" s="61"/>
      <c r="G20" s="256"/>
    </row>
    <row r="21" spans="2:7" ht="12.75">
      <c r="B21" s="504"/>
      <c r="C21" s="411"/>
      <c r="D21" s="60" t="s">
        <v>386</v>
      </c>
      <c r="E21" s="61">
        <v>164585</v>
      </c>
      <c r="F21" s="61"/>
      <c r="G21" s="256"/>
    </row>
    <row r="22" spans="2:7" ht="12.75">
      <c r="B22" s="504"/>
      <c r="C22" s="411"/>
      <c r="D22" s="87" t="s">
        <v>390</v>
      </c>
      <c r="E22" s="61">
        <f>87495+10260</f>
        <v>97755</v>
      </c>
      <c r="F22" s="61"/>
      <c r="G22" s="256"/>
    </row>
    <row r="23" spans="2:7" ht="12.75">
      <c r="B23" s="504"/>
      <c r="C23" s="411"/>
      <c r="D23" s="87" t="s">
        <v>397</v>
      </c>
      <c r="E23" s="61">
        <v>783389</v>
      </c>
      <c r="F23" s="61"/>
      <c r="G23" s="256"/>
    </row>
    <row r="24" spans="2:7" ht="12.75">
      <c r="B24" s="504"/>
      <c r="C24" s="411"/>
      <c r="D24" s="80"/>
      <c r="E24" s="61"/>
      <c r="F24" s="61"/>
      <c r="G24" s="256"/>
    </row>
    <row r="25" spans="2:7" ht="12.75">
      <c r="B25" s="504"/>
      <c r="C25" s="411"/>
      <c r="D25" s="87"/>
      <c r="E25" s="61"/>
      <c r="F25" s="61"/>
      <c r="G25" s="256"/>
    </row>
    <row r="26" spans="2:7" ht="12.75">
      <c r="B26" s="504"/>
      <c r="C26" s="411"/>
      <c r="D26" s="54"/>
      <c r="E26" s="61"/>
      <c r="F26" s="61"/>
      <c r="G26" s="256"/>
    </row>
    <row r="27" spans="2:7" ht="12.75">
      <c r="B27" s="504"/>
      <c r="C27" s="411"/>
      <c r="D27" s="54"/>
      <c r="E27" s="61"/>
      <c r="F27" s="61"/>
      <c r="G27" s="256"/>
    </row>
    <row r="28" spans="2:7" ht="12.75">
      <c r="B28" s="504"/>
      <c r="C28" s="411"/>
      <c r="D28" s="80"/>
      <c r="E28" s="61"/>
      <c r="F28" s="61"/>
      <c r="G28" s="256"/>
    </row>
    <row r="29" spans="2:7" ht="12.75">
      <c r="B29" s="504"/>
      <c r="C29" s="411"/>
      <c r="D29" s="80"/>
      <c r="E29" s="61"/>
      <c r="F29" s="61"/>
      <c r="G29" s="256"/>
    </row>
    <row r="30" spans="2:7" ht="12.75">
      <c r="B30" s="504"/>
      <c r="C30" s="411"/>
      <c r="D30" s="80"/>
      <c r="E30" s="101"/>
      <c r="F30" s="101"/>
      <c r="G30" s="259"/>
    </row>
    <row r="31" spans="2:7" ht="12.75">
      <c r="B31" s="504"/>
      <c r="C31" s="411"/>
      <c r="D31" s="80"/>
      <c r="E31" s="61"/>
      <c r="F31" s="61"/>
      <c r="G31" s="256"/>
    </row>
    <row r="32" spans="2:7" ht="13.5" thickBot="1">
      <c r="B32" s="505"/>
      <c r="C32" s="412"/>
      <c r="D32" s="62"/>
      <c r="E32" s="250"/>
      <c r="F32" s="250"/>
      <c r="G32" s="260"/>
    </row>
    <row r="33" spans="2:7" s="49" customFormat="1" ht="15.75" thickBot="1">
      <c r="B33" s="166">
        <v>330</v>
      </c>
      <c r="C33" s="433" t="s">
        <v>116</v>
      </c>
      <c r="D33" s="434"/>
      <c r="E33" s="86">
        <f>E34</f>
        <v>0</v>
      </c>
      <c r="F33" s="86">
        <f>F34</f>
        <v>0</v>
      </c>
      <c r="G33" s="372">
        <f>G34</f>
        <v>0</v>
      </c>
    </row>
    <row r="34" spans="2:7" ht="13.5" thickBot="1">
      <c r="B34" s="501"/>
      <c r="C34" s="156">
        <v>332</v>
      </c>
      <c r="D34" s="2" t="s">
        <v>142</v>
      </c>
      <c r="E34" s="3"/>
      <c r="F34" s="3"/>
      <c r="G34" s="367"/>
    </row>
    <row r="35" spans="2:7" ht="12.75">
      <c r="B35" s="502"/>
      <c r="C35" s="410"/>
      <c r="D35" s="81"/>
      <c r="E35" s="90"/>
      <c r="F35" s="90"/>
      <c r="G35" s="373"/>
    </row>
    <row r="36" spans="2:7" ht="13.5" thickBot="1">
      <c r="B36" s="502"/>
      <c r="C36" s="411"/>
      <c r="D36" s="4"/>
      <c r="E36" s="1"/>
      <c r="F36" s="1"/>
      <c r="G36" s="374"/>
    </row>
    <row r="37" spans="2:7" s="68" customFormat="1" ht="17.25" thickBot="1" thickTop="1">
      <c r="B37" s="167"/>
      <c r="C37" s="168"/>
      <c r="D37" s="112" t="s">
        <v>139</v>
      </c>
      <c r="E37" s="113">
        <f>E13+E5</f>
        <v>4727097</v>
      </c>
      <c r="F37" s="113">
        <f>F13+F5</f>
        <v>391687</v>
      </c>
      <c r="G37" s="333">
        <f>G13+G5</f>
        <v>391687</v>
      </c>
    </row>
    <row r="38" ht="13.5" thickTop="1"/>
  </sheetData>
  <sheetProtection/>
  <mergeCells count="18">
    <mergeCell ref="B7:B12"/>
    <mergeCell ref="B3:B4"/>
    <mergeCell ref="B34:B36"/>
    <mergeCell ref="C16:C32"/>
    <mergeCell ref="C35:C36"/>
    <mergeCell ref="B15:B32"/>
    <mergeCell ref="C33:D33"/>
    <mergeCell ref="C8:C9"/>
    <mergeCell ref="C14:D14"/>
    <mergeCell ref="C11:C12"/>
    <mergeCell ref="C13:D13"/>
    <mergeCell ref="G3:G4"/>
    <mergeCell ref="C5:D5"/>
    <mergeCell ref="C6:D6"/>
    <mergeCell ref="C3:C4"/>
    <mergeCell ref="D3:D4"/>
    <mergeCell ref="E3:E4"/>
    <mergeCell ref="F3:F4"/>
  </mergeCells>
  <printOptions/>
  <pageMargins left="0.25" right="0.21" top="1" bottom="1" header="0.4921259845" footer="0.492125984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172"/>
  <sheetViews>
    <sheetView showGridLines="0" zoomScalePageLayoutView="0" workbookViewId="0" topLeftCell="A1">
      <selection activeCell="F70" sqref="F70:F71"/>
    </sheetView>
  </sheetViews>
  <sheetFormatPr defaultColWidth="9.140625" defaultRowHeight="12.75"/>
  <cols>
    <col min="1" max="1" width="2.00390625" style="245" customWidth="1"/>
    <col min="2" max="2" width="10.421875" style="245" customWidth="1"/>
    <col min="3" max="3" width="8.140625" style="245" customWidth="1"/>
    <col min="4" max="4" width="32.8515625" style="245" customWidth="1"/>
    <col min="5" max="6" width="12.00390625" style="293" customWidth="1"/>
    <col min="7" max="7" width="10.7109375" style="245" customWidth="1"/>
    <col min="8" max="16384" width="9.140625" style="245" customWidth="1"/>
  </cols>
  <sheetData>
    <row r="1" spans="2:7" ht="13.5" thickBot="1">
      <c r="B1" s="507" t="s">
        <v>145</v>
      </c>
      <c r="C1" s="507"/>
      <c r="D1" s="507"/>
      <c r="E1" s="507"/>
      <c r="F1" s="507"/>
      <c r="G1" s="507"/>
    </row>
    <row r="2" spans="2:7" ht="13.5" customHeight="1" thickTop="1">
      <c r="B2" s="465" t="s">
        <v>63</v>
      </c>
      <c r="C2" s="467" t="s">
        <v>64</v>
      </c>
      <c r="D2" s="469" t="s">
        <v>65</v>
      </c>
      <c r="E2" s="422" t="s">
        <v>334</v>
      </c>
      <c r="F2" s="422" t="s">
        <v>401</v>
      </c>
      <c r="G2" s="408" t="s">
        <v>402</v>
      </c>
    </row>
    <row r="3" spans="2:7" ht="27" customHeight="1" thickBot="1">
      <c r="B3" s="466"/>
      <c r="C3" s="468"/>
      <c r="D3" s="470"/>
      <c r="E3" s="423"/>
      <c r="F3" s="423"/>
      <c r="G3" s="506"/>
    </row>
    <row r="4" spans="2:7" s="246" customFormat="1" ht="16.5" thickBot="1" thickTop="1">
      <c r="B4" s="109" t="s">
        <v>68</v>
      </c>
      <c r="C4" s="517" t="s">
        <v>146</v>
      </c>
      <c r="D4" s="517"/>
      <c r="E4" s="187">
        <f>SUM(E5:E8)</f>
        <v>0</v>
      </c>
      <c r="F4" s="187"/>
      <c r="G4" s="338"/>
    </row>
    <row r="5" spans="2:7" ht="12.75">
      <c r="B5" s="170"/>
      <c r="C5" s="97"/>
      <c r="D5" s="89" t="s">
        <v>357</v>
      </c>
      <c r="E5" s="76"/>
      <c r="F5" s="76"/>
      <c r="G5" s="378"/>
    </row>
    <row r="6" spans="2:7" ht="12.75">
      <c r="B6" s="170"/>
      <c r="C6" s="97"/>
      <c r="D6" s="89" t="s">
        <v>352</v>
      </c>
      <c r="E6" s="76"/>
      <c r="F6" s="76"/>
      <c r="G6" s="378"/>
    </row>
    <row r="7" spans="2:7" ht="12.75">
      <c r="B7" s="170"/>
      <c r="C7" s="97"/>
      <c r="D7" s="89" t="s">
        <v>324</v>
      </c>
      <c r="E7" s="76"/>
      <c r="F7" s="76"/>
      <c r="G7" s="378"/>
    </row>
    <row r="8" spans="2:7" ht="13.5" thickBot="1">
      <c r="B8" s="170"/>
      <c r="C8" s="97"/>
      <c r="D8" s="89" t="s">
        <v>271</v>
      </c>
      <c r="E8" s="76"/>
      <c r="F8" s="76"/>
      <c r="G8" s="378"/>
    </row>
    <row r="9" spans="2:7" s="246" customFormat="1" ht="15.75" thickBot="1">
      <c r="B9" s="103" t="s">
        <v>165</v>
      </c>
      <c r="C9" s="515" t="s">
        <v>13</v>
      </c>
      <c r="D9" s="515"/>
      <c r="E9" s="41">
        <f>SUM(E10:E10)</f>
        <v>3350</v>
      </c>
      <c r="F9" s="41"/>
      <c r="G9" s="338"/>
    </row>
    <row r="10" spans="2:7" ht="13.5" thickBot="1">
      <c r="B10" s="170"/>
      <c r="C10" s="96"/>
      <c r="D10" s="79" t="s">
        <v>285</v>
      </c>
      <c r="E10" s="59">
        <v>3350</v>
      </c>
      <c r="F10" s="59"/>
      <c r="G10" s="379"/>
    </row>
    <row r="11" spans="2:7" s="246" customFormat="1" ht="15.75" thickBot="1">
      <c r="B11" s="103" t="s">
        <v>147</v>
      </c>
      <c r="C11" s="515" t="s">
        <v>148</v>
      </c>
      <c r="D11" s="515"/>
      <c r="E11" s="41">
        <f>SUM(E12:E29)</f>
        <v>2948528</v>
      </c>
      <c r="F11" s="41">
        <v>341897</v>
      </c>
      <c r="G11" s="338">
        <v>341897</v>
      </c>
    </row>
    <row r="12" spans="2:7" ht="12.75">
      <c r="B12" s="170"/>
      <c r="C12" s="99"/>
      <c r="D12" s="89" t="s">
        <v>396</v>
      </c>
      <c r="E12" s="76">
        <v>824620</v>
      </c>
      <c r="F12" s="76"/>
      <c r="G12" s="378"/>
    </row>
    <row r="13" spans="2:7" ht="12.75">
      <c r="B13" s="170"/>
      <c r="C13" s="99"/>
      <c r="D13" s="80" t="s">
        <v>299</v>
      </c>
      <c r="E13" s="287"/>
      <c r="F13" s="287"/>
      <c r="G13" s="380"/>
    </row>
    <row r="14" spans="2:7" ht="12.75">
      <c r="B14" s="170"/>
      <c r="C14" s="99"/>
      <c r="D14" s="80" t="s">
        <v>314</v>
      </c>
      <c r="E14" s="287"/>
      <c r="F14" s="287"/>
      <c r="G14" s="380"/>
    </row>
    <row r="15" spans="2:7" ht="12.75">
      <c r="B15" s="170"/>
      <c r="C15" s="99"/>
      <c r="D15" s="80" t="s">
        <v>292</v>
      </c>
      <c r="E15" s="61">
        <v>167679</v>
      </c>
      <c r="F15" s="61"/>
      <c r="G15" s="380"/>
    </row>
    <row r="16" spans="2:14" ht="12.75">
      <c r="B16" s="170"/>
      <c r="C16" s="99"/>
      <c r="D16" s="80" t="s">
        <v>310</v>
      </c>
      <c r="E16" s="287"/>
      <c r="F16" s="287"/>
      <c r="G16" s="380"/>
      <c r="N16" s="280">
        <f>E15+41231</f>
        <v>208910</v>
      </c>
    </row>
    <row r="17" spans="2:14" ht="12.75">
      <c r="B17" s="170"/>
      <c r="C17" s="99"/>
      <c r="D17" s="80" t="s">
        <v>331</v>
      </c>
      <c r="E17" s="287"/>
      <c r="F17" s="287"/>
      <c r="G17" s="380"/>
      <c r="N17" s="264">
        <v>341897</v>
      </c>
    </row>
    <row r="18" spans="2:14" ht="12.75">
      <c r="B18" s="170"/>
      <c r="C18" s="99"/>
      <c r="D18" s="80" t="s">
        <v>332</v>
      </c>
      <c r="E18" s="287"/>
      <c r="F18" s="287"/>
      <c r="G18" s="380"/>
      <c r="N18" s="280">
        <f>N17-N16</f>
        <v>132987</v>
      </c>
    </row>
    <row r="19" spans="2:7" ht="12.75">
      <c r="B19" s="170"/>
      <c r="C19" s="99"/>
      <c r="D19" s="80" t="s">
        <v>311</v>
      </c>
      <c r="E19" s="287"/>
      <c r="F19" s="287"/>
      <c r="G19" s="380"/>
    </row>
    <row r="20" spans="2:14" ht="12.75">
      <c r="B20" s="170"/>
      <c r="C20" s="99"/>
      <c r="D20" s="80" t="s">
        <v>284</v>
      </c>
      <c r="E20" s="287"/>
      <c r="F20" s="287"/>
      <c r="G20" s="380"/>
      <c r="N20" s="245">
        <v>20000</v>
      </c>
    </row>
    <row r="21" spans="2:14" ht="12.75">
      <c r="B21" s="170"/>
      <c r="C21" s="99"/>
      <c r="D21" s="80" t="s">
        <v>298</v>
      </c>
      <c r="E21" s="287"/>
      <c r="F21" s="287"/>
      <c r="G21" s="380"/>
      <c r="N21" s="245">
        <v>23250</v>
      </c>
    </row>
    <row r="22" spans="2:14" ht="12.75">
      <c r="B22" s="170"/>
      <c r="C22" s="99"/>
      <c r="D22" s="80" t="s">
        <v>312</v>
      </c>
      <c r="E22" s="61">
        <v>261120</v>
      </c>
      <c r="F22" s="61"/>
      <c r="G22" s="380"/>
      <c r="N22" s="298">
        <v>13300</v>
      </c>
    </row>
    <row r="23" spans="2:14" ht="12.75">
      <c r="B23" s="170"/>
      <c r="C23" s="99"/>
      <c r="D23" s="80" t="s">
        <v>283</v>
      </c>
      <c r="E23" s="287"/>
      <c r="F23" s="287"/>
      <c r="G23" s="380"/>
      <c r="N23" s="298">
        <v>33300</v>
      </c>
    </row>
    <row r="24" spans="2:14" ht="12.75">
      <c r="B24" s="170"/>
      <c r="C24" s="99"/>
      <c r="D24" s="80" t="s">
        <v>255</v>
      </c>
      <c r="E24" s="287"/>
      <c r="F24" s="287"/>
      <c r="G24" s="380"/>
      <c r="N24" s="298">
        <v>3200</v>
      </c>
    </row>
    <row r="25" spans="2:14" ht="12.75">
      <c r="B25" s="170"/>
      <c r="C25" s="99"/>
      <c r="D25" s="80" t="s">
        <v>257</v>
      </c>
      <c r="E25" s="287"/>
      <c r="F25" s="287"/>
      <c r="G25" s="380"/>
      <c r="N25" s="298">
        <v>8300</v>
      </c>
    </row>
    <row r="26" spans="2:14" ht="12.75">
      <c r="B26" s="170"/>
      <c r="C26" s="99"/>
      <c r="D26" s="80" t="s">
        <v>293</v>
      </c>
      <c r="E26" s="61">
        <v>2105</v>
      </c>
      <c r="F26" s="61"/>
      <c r="G26" s="380"/>
      <c r="N26" s="245">
        <f>SUM(N20:N25)</f>
        <v>101350</v>
      </c>
    </row>
    <row r="27" spans="2:7" ht="12.75">
      <c r="B27" s="170"/>
      <c r="C27" s="99"/>
      <c r="D27" s="80" t="s">
        <v>380</v>
      </c>
      <c r="E27" s="61"/>
      <c r="F27" s="61"/>
      <c r="G27" s="380"/>
    </row>
    <row r="28" spans="2:7" ht="12.75">
      <c r="B28" s="170"/>
      <c r="C28" s="99"/>
      <c r="D28" s="100" t="s">
        <v>319</v>
      </c>
      <c r="E28" s="101">
        <v>483870</v>
      </c>
      <c r="F28" s="101"/>
      <c r="G28" s="380"/>
    </row>
    <row r="29" spans="2:7" ht="13.5" thickBot="1">
      <c r="B29" s="170"/>
      <c r="C29" s="99"/>
      <c r="D29" s="100" t="s">
        <v>360</v>
      </c>
      <c r="E29" s="101">
        <f>1327757-118623</f>
        <v>1209134</v>
      </c>
      <c r="F29" s="101"/>
      <c r="G29" s="380"/>
    </row>
    <row r="30" spans="2:7" s="246" customFormat="1" ht="15.75" thickBot="1">
      <c r="B30" s="172" t="s">
        <v>149</v>
      </c>
      <c r="C30" s="515" t="s">
        <v>150</v>
      </c>
      <c r="D30" s="515"/>
      <c r="E30" s="41">
        <f>SUM(E31:E48)</f>
        <v>80515</v>
      </c>
      <c r="F30" s="41"/>
      <c r="G30" s="338"/>
    </row>
    <row r="31" spans="2:7" ht="12.75">
      <c r="B31" s="170"/>
      <c r="C31" s="97"/>
      <c r="D31" s="80" t="s">
        <v>228</v>
      </c>
      <c r="E31" s="287"/>
      <c r="F31" s="287"/>
      <c r="G31" s="380"/>
    </row>
    <row r="32" spans="2:7" ht="12.75">
      <c r="B32" s="170"/>
      <c r="C32" s="97"/>
      <c r="D32" s="80" t="s">
        <v>392</v>
      </c>
      <c r="E32" s="61"/>
      <c r="F32" s="61"/>
      <c r="G32" s="380"/>
    </row>
    <row r="33" spans="2:7" ht="12.75">
      <c r="B33" s="170"/>
      <c r="C33" s="97"/>
      <c r="D33" s="80" t="s">
        <v>359</v>
      </c>
      <c r="E33" s="61">
        <f>4605+540</f>
        <v>5145</v>
      </c>
      <c r="F33" s="61"/>
      <c r="G33" s="380"/>
    </row>
    <row r="34" spans="2:7" ht="12.75">
      <c r="B34" s="170"/>
      <c r="C34" s="97"/>
      <c r="D34" s="80" t="s">
        <v>333</v>
      </c>
      <c r="E34" s="61">
        <v>24070</v>
      </c>
      <c r="F34" s="61"/>
      <c r="G34" s="380"/>
    </row>
    <row r="35" spans="2:7" ht="12.75">
      <c r="B35" s="170"/>
      <c r="C35" s="97"/>
      <c r="D35" s="80" t="s">
        <v>294</v>
      </c>
      <c r="E35" s="287"/>
      <c r="F35" s="287"/>
      <c r="G35" s="380"/>
    </row>
    <row r="36" spans="2:7" ht="12.75">
      <c r="B36" s="170"/>
      <c r="C36" s="97"/>
      <c r="D36" s="80" t="s">
        <v>379</v>
      </c>
      <c r="E36" s="61">
        <v>51300</v>
      </c>
      <c r="F36" s="61"/>
      <c r="G36" s="380"/>
    </row>
    <row r="37" spans="2:7" ht="12.75">
      <c r="B37" s="170"/>
      <c r="C37" s="97"/>
      <c r="D37" s="80" t="s">
        <v>313</v>
      </c>
      <c r="E37" s="287"/>
      <c r="F37" s="287"/>
      <c r="G37" s="380"/>
    </row>
    <row r="38" spans="2:7" ht="12.75">
      <c r="B38" s="170"/>
      <c r="C38" s="97"/>
      <c r="D38" s="80" t="s">
        <v>295</v>
      </c>
      <c r="E38" s="287"/>
      <c r="F38" s="287"/>
      <c r="G38" s="380"/>
    </row>
    <row r="39" spans="2:7" ht="12.75">
      <c r="B39" s="170"/>
      <c r="C39" s="97"/>
      <c r="D39" s="80" t="s">
        <v>249</v>
      </c>
      <c r="E39" s="287"/>
      <c r="F39" s="287"/>
      <c r="G39" s="380"/>
    </row>
    <row r="40" spans="2:7" ht="12.75">
      <c r="B40" s="170"/>
      <c r="C40" s="97"/>
      <c r="D40" s="80" t="s">
        <v>267</v>
      </c>
      <c r="E40" s="287"/>
      <c r="F40" s="287"/>
      <c r="G40" s="380"/>
    </row>
    <row r="41" spans="2:7" ht="12.75">
      <c r="B41" s="170"/>
      <c r="C41" s="97"/>
      <c r="D41" s="80" t="s">
        <v>381</v>
      </c>
      <c r="E41" s="61"/>
      <c r="F41" s="61"/>
      <c r="G41" s="380"/>
    </row>
    <row r="42" spans="2:7" ht="12.75">
      <c r="B42" s="170"/>
      <c r="C42" s="97"/>
      <c r="D42" s="80" t="s">
        <v>393</v>
      </c>
      <c r="E42" s="61"/>
      <c r="F42" s="61"/>
      <c r="G42" s="380"/>
    </row>
    <row r="43" spans="2:7" ht="12.75">
      <c r="B43" s="170"/>
      <c r="C43" s="97"/>
      <c r="D43" s="80" t="s">
        <v>231</v>
      </c>
      <c r="E43" s="287"/>
      <c r="F43" s="287"/>
      <c r="G43" s="380"/>
    </row>
    <row r="44" spans="2:7" ht="12.75">
      <c r="B44" s="170"/>
      <c r="C44" s="97"/>
      <c r="D44" s="80" t="s">
        <v>251</v>
      </c>
      <c r="E44" s="287"/>
      <c r="F44" s="287"/>
      <c r="G44" s="380"/>
    </row>
    <row r="45" spans="2:7" ht="12.75">
      <c r="B45" s="170"/>
      <c r="C45" s="97"/>
      <c r="D45" s="80" t="s">
        <v>320</v>
      </c>
      <c r="E45" s="287"/>
      <c r="F45" s="287"/>
      <c r="G45" s="380"/>
    </row>
    <row r="46" spans="2:7" ht="12.75">
      <c r="B46" s="170"/>
      <c r="C46" s="97"/>
      <c r="D46" s="80" t="s">
        <v>250</v>
      </c>
      <c r="E46" s="61"/>
      <c r="F46" s="61"/>
      <c r="G46" s="380"/>
    </row>
    <row r="47" spans="2:7" ht="12.75">
      <c r="B47" s="170"/>
      <c r="C47" s="97"/>
      <c r="D47" s="80" t="s">
        <v>273</v>
      </c>
      <c r="E47" s="287"/>
      <c r="F47" s="287"/>
      <c r="G47" s="380"/>
    </row>
    <row r="48" spans="2:7" ht="13.5" thickBot="1">
      <c r="B48" s="171"/>
      <c r="C48" s="98"/>
      <c r="D48" s="83" t="s">
        <v>232</v>
      </c>
      <c r="E48" s="288"/>
      <c r="F48" s="288"/>
      <c r="G48" s="381"/>
    </row>
    <row r="49" spans="2:7" s="246" customFormat="1" ht="15.75" thickBot="1">
      <c r="B49" s="225" t="s">
        <v>28</v>
      </c>
      <c r="C49" s="516" t="s">
        <v>29</v>
      </c>
      <c r="D49" s="516"/>
      <c r="E49" s="102">
        <f>SUM(E50:E52)</f>
        <v>175628</v>
      </c>
      <c r="F49" s="102"/>
      <c r="G49" s="382"/>
    </row>
    <row r="50" spans="2:7" ht="12.75">
      <c r="B50" s="247"/>
      <c r="C50" s="96"/>
      <c r="D50" s="79" t="s">
        <v>388</v>
      </c>
      <c r="E50" s="286"/>
      <c r="F50" s="286"/>
      <c r="G50" s="379"/>
    </row>
    <row r="51" spans="2:7" ht="12.75">
      <c r="B51" s="170"/>
      <c r="C51" s="97"/>
      <c r="D51" s="4" t="s">
        <v>387</v>
      </c>
      <c r="E51" s="61">
        <v>175628</v>
      </c>
      <c r="F51" s="61"/>
      <c r="G51" s="380"/>
    </row>
    <row r="52" spans="2:7" ht="13.5" thickBot="1">
      <c r="B52" s="171"/>
      <c r="C52" s="98"/>
      <c r="D52" s="83" t="s">
        <v>291</v>
      </c>
      <c r="E52" s="288"/>
      <c r="F52" s="377"/>
      <c r="G52" s="383"/>
    </row>
    <row r="53" spans="2:7" s="246" customFormat="1" ht="15.75" thickBot="1">
      <c r="B53" s="226" t="s">
        <v>151</v>
      </c>
      <c r="C53" s="516" t="s">
        <v>152</v>
      </c>
      <c r="D53" s="516"/>
      <c r="E53" s="94">
        <f>SUM(E54:E62)</f>
        <v>77030</v>
      </c>
      <c r="F53" s="94"/>
      <c r="G53" s="384"/>
    </row>
    <row r="54" spans="2:7" ht="12.75">
      <c r="B54" s="170"/>
      <c r="C54" s="97"/>
      <c r="D54" s="87" t="s">
        <v>244</v>
      </c>
      <c r="E54" s="285"/>
      <c r="F54" s="285"/>
      <c r="G54" s="378"/>
    </row>
    <row r="55" spans="2:7" ht="12.75">
      <c r="B55" s="170"/>
      <c r="C55" s="97"/>
      <c r="D55" s="60" t="s">
        <v>245</v>
      </c>
      <c r="E55" s="76">
        <v>32530</v>
      </c>
      <c r="F55" s="76"/>
      <c r="G55" s="378"/>
    </row>
    <row r="56" spans="2:7" ht="12.75">
      <c r="B56" s="170"/>
      <c r="C56" s="97"/>
      <c r="D56" s="60" t="s">
        <v>246</v>
      </c>
      <c r="E56" s="285"/>
      <c r="F56" s="285"/>
      <c r="G56" s="378"/>
    </row>
    <row r="57" spans="2:7" ht="12.75">
      <c r="B57" s="170"/>
      <c r="C57" s="97"/>
      <c r="D57" s="60" t="s">
        <v>247</v>
      </c>
      <c r="E57" s="285"/>
      <c r="F57" s="285"/>
      <c r="G57" s="378"/>
    </row>
    <row r="58" spans="2:7" ht="12.75">
      <c r="B58" s="170"/>
      <c r="C58" s="97"/>
      <c r="D58" s="80" t="s">
        <v>282</v>
      </c>
      <c r="E58" s="61"/>
      <c r="F58" s="61"/>
      <c r="G58" s="380"/>
    </row>
    <row r="59" spans="2:7" ht="12.75">
      <c r="B59" s="170"/>
      <c r="C59" s="97"/>
      <c r="D59" s="80" t="s">
        <v>394</v>
      </c>
      <c r="E59" s="61">
        <v>44500</v>
      </c>
      <c r="F59" s="61"/>
      <c r="G59" s="380"/>
    </row>
    <row r="60" spans="2:7" ht="12.75">
      <c r="B60" s="170"/>
      <c r="C60" s="97"/>
      <c r="D60" s="80" t="s">
        <v>395</v>
      </c>
      <c r="E60" s="61"/>
      <c r="F60" s="61"/>
      <c r="G60" s="380"/>
    </row>
    <row r="61" spans="2:7" ht="13.5" thickBot="1">
      <c r="B61" s="170"/>
      <c r="C61" s="97"/>
      <c r="D61" s="83" t="s">
        <v>248</v>
      </c>
      <c r="E61" s="63"/>
      <c r="F61" s="63"/>
      <c r="G61" s="381"/>
    </row>
    <row r="62" spans="2:7" ht="13.5" thickBot="1">
      <c r="B62" s="171"/>
      <c r="C62" s="98"/>
      <c r="D62" s="265" t="s">
        <v>323</v>
      </c>
      <c r="E62" s="290"/>
      <c r="F62" s="377"/>
      <c r="G62" s="381"/>
    </row>
    <row r="63" spans="2:7" ht="15.75" thickBot="1">
      <c r="B63" s="103" t="s">
        <v>168</v>
      </c>
      <c r="C63" s="433" t="s">
        <v>169</v>
      </c>
      <c r="D63" s="442"/>
      <c r="E63" s="102">
        <f>SUM(E64:E71)</f>
        <v>259600</v>
      </c>
      <c r="F63" s="102"/>
      <c r="G63" s="382"/>
    </row>
    <row r="64" spans="2:7" ht="12.75">
      <c r="B64" s="512"/>
      <c r="C64" s="96"/>
      <c r="D64" s="79" t="s">
        <v>398</v>
      </c>
      <c r="E64" s="59">
        <v>17500</v>
      </c>
      <c r="F64" s="59"/>
      <c r="G64" s="379"/>
    </row>
    <row r="65" spans="2:7" ht="12.75">
      <c r="B65" s="513"/>
      <c r="C65" s="537"/>
      <c r="D65" s="80" t="s">
        <v>391</v>
      </c>
      <c r="E65" s="61"/>
      <c r="F65" s="76"/>
      <c r="G65" s="378"/>
    </row>
    <row r="66" spans="2:7" ht="12.75">
      <c r="B66" s="513"/>
      <c r="C66" s="537"/>
      <c r="D66" s="80" t="s">
        <v>389</v>
      </c>
      <c r="E66" s="61">
        <v>92100</v>
      </c>
      <c r="F66" s="76"/>
      <c r="G66" s="378"/>
    </row>
    <row r="67" spans="2:7" ht="12.75">
      <c r="B67" s="513"/>
      <c r="C67" s="537"/>
      <c r="D67" s="80" t="s">
        <v>399</v>
      </c>
      <c r="E67" s="61">
        <v>100000</v>
      </c>
      <c r="F67" s="76"/>
      <c r="G67" s="378"/>
    </row>
    <row r="68" spans="2:7" ht="12.75">
      <c r="B68" s="513"/>
      <c r="C68" s="537"/>
      <c r="D68" s="80" t="s">
        <v>400</v>
      </c>
      <c r="E68" s="61">
        <v>50000</v>
      </c>
      <c r="F68" s="61"/>
      <c r="G68" s="380"/>
    </row>
    <row r="69" spans="2:7" ht="13.5" thickBot="1">
      <c r="B69" s="513"/>
      <c r="C69" s="537"/>
      <c r="D69" s="4"/>
      <c r="E69" s="1"/>
      <c r="F69" s="1"/>
      <c r="G69" s="386"/>
    </row>
    <row r="70" spans="2:7" ht="13.5" customHeight="1" thickTop="1">
      <c r="B70" s="465" t="s">
        <v>63</v>
      </c>
      <c r="C70" s="467" t="s">
        <v>64</v>
      </c>
      <c r="D70" s="469" t="s">
        <v>65</v>
      </c>
      <c r="E70" s="422" t="s">
        <v>334</v>
      </c>
      <c r="F70" s="422" t="s">
        <v>401</v>
      </c>
      <c r="G70" s="538" t="s">
        <v>402</v>
      </c>
    </row>
    <row r="71" spans="2:7" ht="30" customHeight="1" thickBot="1">
      <c r="B71" s="466"/>
      <c r="C71" s="468"/>
      <c r="D71" s="470"/>
      <c r="E71" s="423"/>
      <c r="F71" s="423"/>
      <c r="G71" s="506"/>
    </row>
    <row r="72" spans="2:7" s="246" customFormat="1" ht="16.5" thickBot="1" thickTop="1">
      <c r="B72" s="172" t="s">
        <v>153</v>
      </c>
      <c r="C72" s="515" t="s">
        <v>154</v>
      </c>
      <c r="D72" s="515"/>
      <c r="E72" s="41">
        <f>SUM(E73:E77)</f>
        <v>0</v>
      </c>
      <c r="F72" s="41"/>
      <c r="G72" s="338"/>
    </row>
    <row r="73" spans="2:7" s="246" customFormat="1" ht="13.5" customHeight="1">
      <c r="B73" s="476"/>
      <c r="C73" s="518"/>
      <c r="D73" s="19" t="s">
        <v>229</v>
      </c>
      <c r="E73" s="291"/>
      <c r="F73" s="291"/>
      <c r="G73" s="335"/>
    </row>
    <row r="74" spans="2:7" s="246" customFormat="1" ht="13.5" customHeight="1">
      <c r="B74" s="477"/>
      <c r="C74" s="519"/>
      <c r="D74" s="27" t="s">
        <v>277</v>
      </c>
      <c r="E74" s="292"/>
      <c r="F74" s="292"/>
      <c r="G74" s="385"/>
    </row>
    <row r="75" spans="2:7" s="246" customFormat="1" ht="13.5" customHeight="1">
      <c r="B75" s="477"/>
      <c r="C75" s="519"/>
      <c r="D75" s="27" t="s">
        <v>330</v>
      </c>
      <c r="E75" s="292"/>
      <c r="F75" s="292"/>
      <c r="G75" s="385"/>
    </row>
    <row r="76" spans="2:7" s="246" customFormat="1" ht="13.5" customHeight="1">
      <c r="B76" s="477"/>
      <c r="C76" s="519"/>
      <c r="D76" s="27" t="s">
        <v>315</v>
      </c>
      <c r="E76" s="292"/>
      <c r="F76" s="292"/>
      <c r="G76" s="336"/>
    </row>
    <row r="77" spans="2:7" ht="13.5" thickBot="1">
      <c r="B77" s="478"/>
      <c r="C77" s="520"/>
      <c r="D77" s="27" t="s">
        <v>268</v>
      </c>
      <c r="E77" s="289"/>
      <c r="F77" s="289"/>
      <c r="G77" s="386"/>
    </row>
    <row r="78" spans="2:7" s="246" customFormat="1" ht="15.75" thickBot="1">
      <c r="B78" s="172" t="s">
        <v>155</v>
      </c>
      <c r="C78" s="515" t="s">
        <v>156</v>
      </c>
      <c r="D78" s="515"/>
      <c r="E78" s="41">
        <f>SUM(E79:E95)</f>
        <v>137850</v>
      </c>
      <c r="F78" s="41">
        <f>49790-33033-270</f>
        <v>16487</v>
      </c>
      <c r="G78" s="338">
        <f>49790+316760</f>
        <v>366550</v>
      </c>
    </row>
    <row r="79" spans="2:7" ht="12.75">
      <c r="B79" s="512"/>
      <c r="C79" s="521"/>
      <c r="D79" s="125" t="s">
        <v>234</v>
      </c>
      <c r="E79" s="59"/>
      <c r="F79" s="59"/>
      <c r="G79" s="379"/>
    </row>
    <row r="80" spans="2:7" ht="12.75">
      <c r="B80" s="513"/>
      <c r="C80" s="522"/>
      <c r="D80" s="80" t="s">
        <v>235</v>
      </c>
      <c r="E80" s="61">
        <v>33000</v>
      </c>
      <c r="F80" s="61"/>
      <c r="G80" s="380"/>
    </row>
    <row r="81" spans="2:7" ht="12.75">
      <c r="B81" s="513"/>
      <c r="C81" s="522"/>
      <c r="D81" s="80" t="s">
        <v>322</v>
      </c>
      <c r="E81" s="61"/>
      <c r="F81" s="61"/>
      <c r="G81" s="380"/>
    </row>
    <row r="82" spans="2:7" ht="12.75">
      <c r="B82" s="513"/>
      <c r="C82" s="522"/>
      <c r="D82" s="80" t="s">
        <v>236</v>
      </c>
      <c r="E82" s="61"/>
      <c r="F82" s="61"/>
      <c r="G82" s="380"/>
    </row>
    <row r="83" spans="2:7" ht="12.75">
      <c r="B83" s="513"/>
      <c r="C83" s="522"/>
      <c r="D83" s="80" t="s">
        <v>237</v>
      </c>
      <c r="E83" s="61">
        <v>50000</v>
      </c>
      <c r="F83" s="61"/>
      <c r="G83" s="380"/>
    </row>
    <row r="84" spans="2:7" ht="12.75">
      <c r="B84" s="513"/>
      <c r="C84" s="522"/>
      <c r="D84" s="80" t="s">
        <v>238</v>
      </c>
      <c r="E84" s="61"/>
      <c r="F84" s="61"/>
      <c r="G84" s="380"/>
    </row>
    <row r="85" spans="2:7" ht="12.75">
      <c r="B85" s="513"/>
      <c r="C85" s="522"/>
      <c r="D85" s="80" t="s">
        <v>240</v>
      </c>
      <c r="E85" s="61"/>
      <c r="F85" s="61"/>
      <c r="G85" s="380"/>
    </row>
    <row r="86" spans="2:7" ht="12.75">
      <c r="B86" s="513"/>
      <c r="C86" s="522"/>
      <c r="D86" s="80" t="s">
        <v>239</v>
      </c>
      <c r="E86" s="61"/>
      <c r="F86" s="61"/>
      <c r="G86" s="380"/>
    </row>
    <row r="87" spans="2:7" ht="12.75">
      <c r="B87" s="513"/>
      <c r="C87" s="522"/>
      <c r="D87" s="80" t="s">
        <v>279</v>
      </c>
      <c r="E87" s="61"/>
      <c r="F87" s="61"/>
      <c r="G87" s="380"/>
    </row>
    <row r="88" spans="2:7" ht="12.75">
      <c r="B88" s="513"/>
      <c r="C88" s="522"/>
      <c r="D88" s="80" t="s">
        <v>280</v>
      </c>
      <c r="E88" s="61"/>
      <c r="F88" s="61"/>
      <c r="G88" s="380"/>
    </row>
    <row r="89" spans="2:7" ht="12.75">
      <c r="B89" s="513"/>
      <c r="C89" s="522"/>
      <c r="D89" s="80" t="s">
        <v>281</v>
      </c>
      <c r="E89" s="61"/>
      <c r="F89" s="61"/>
      <c r="G89" s="380"/>
    </row>
    <row r="90" spans="2:7" ht="12.75">
      <c r="B90" s="513"/>
      <c r="C90" s="522"/>
      <c r="D90" s="80" t="s">
        <v>260</v>
      </c>
      <c r="E90" s="61"/>
      <c r="F90" s="61"/>
      <c r="G90" s="380"/>
    </row>
    <row r="91" spans="2:7" ht="12.75">
      <c r="B91" s="513"/>
      <c r="C91" s="522"/>
      <c r="D91" s="100" t="s">
        <v>278</v>
      </c>
      <c r="E91" s="61"/>
      <c r="F91" s="61"/>
      <c r="G91" s="380"/>
    </row>
    <row r="92" spans="2:7" ht="12.75">
      <c r="B92" s="513"/>
      <c r="C92" s="522"/>
      <c r="D92" s="100" t="s">
        <v>308</v>
      </c>
      <c r="E92" s="61"/>
      <c r="F92" s="61"/>
      <c r="G92" s="380"/>
    </row>
    <row r="93" spans="2:7" ht="12.75">
      <c r="B93" s="513"/>
      <c r="C93" s="522"/>
      <c r="D93" s="100" t="s">
        <v>309</v>
      </c>
      <c r="E93" s="61"/>
      <c r="F93" s="61"/>
      <c r="G93" s="380"/>
    </row>
    <row r="94" spans="2:7" ht="12.75">
      <c r="B94" s="513"/>
      <c r="C94" s="522"/>
      <c r="D94" s="100" t="s">
        <v>307</v>
      </c>
      <c r="E94" s="61">
        <v>300</v>
      </c>
      <c r="F94" s="61"/>
      <c r="G94" s="380"/>
    </row>
    <row r="95" spans="2:7" ht="13.5" thickBot="1">
      <c r="B95" s="514"/>
      <c r="C95" s="523"/>
      <c r="D95" s="80" t="s">
        <v>355</v>
      </c>
      <c r="E95" s="63">
        <v>54550</v>
      </c>
      <c r="F95" s="101"/>
      <c r="G95" s="380"/>
    </row>
    <row r="96" spans="2:7" ht="15.75" thickBot="1">
      <c r="B96" s="234" t="s">
        <v>161</v>
      </c>
      <c r="C96" s="433" t="s">
        <v>162</v>
      </c>
      <c r="D96" s="434"/>
      <c r="E96" s="41">
        <f>SUM(E97:E99)</f>
        <v>0</v>
      </c>
      <c r="F96" s="41"/>
      <c r="G96" s="338"/>
    </row>
    <row r="97" spans="2:7" ht="12.75">
      <c r="B97" s="170"/>
      <c r="C97" s="97"/>
      <c r="D97" s="80" t="s">
        <v>230</v>
      </c>
      <c r="E97" s="287"/>
      <c r="F97" s="287"/>
      <c r="G97" s="380"/>
    </row>
    <row r="98" spans="2:7" ht="12.75">
      <c r="B98" s="170"/>
      <c r="C98" s="97"/>
      <c r="D98" s="80"/>
      <c r="E98" s="287"/>
      <c r="F98" s="287"/>
      <c r="G98" s="380"/>
    </row>
    <row r="99" spans="2:7" ht="13.5" thickBot="1">
      <c r="B99" s="171"/>
      <c r="C99" s="98"/>
      <c r="D99" s="83"/>
      <c r="E99" s="288"/>
      <c r="F99" s="288"/>
      <c r="G99" s="381"/>
    </row>
    <row r="100" spans="2:7" ht="15.75" thickBot="1">
      <c r="B100" s="226" t="s">
        <v>157</v>
      </c>
      <c r="C100" s="517" t="s">
        <v>158</v>
      </c>
      <c r="D100" s="517"/>
      <c r="E100" s="102">
        <f>SUM(E101:E103)</f>
        <v>128000</v>
      </c>
      <c r="F100" s="102"/>
      <c r="G100" s="382"/>
    </row>
    <row r="101" spans="2:7" ht="12.75">
      <c r="B101" s="170"/>
      <c r="C101" s="97"/>
      <c r="D101" s="79" t="s">
        <v>241</v>
      </c>
      <c r="E101" s="59">
        <f>103000+25000</f>
        <v>128000</v>
      </c>
      <c r="F101" s="59"/>
      <c r="G101" s="379"/>
    </row>
    <row r="102" spans="2:7" ht="12.75">
      <c r="B102" s="170"/>
      <c r="C102" s="97"/>
      <c r="D102" s="4" t="s">
        <v>256</v>
      </c>
      <c r="E102" s="1"/>
      <c r="F102" s="1"/>
      <c r="G102" s="386"/>
    </row>
    <row r="103" spans="2:7" ht="13.5" thickBot="1">
      <c r="B103" s="170"/>
      <c r="C103" s="97"/>
      <c r="D103" s="100"/>
      <c r="E103" s="101"/>
      <c r="F103" s="101"/>
      <c r="G103" s="387"/>
    </row>
    <row r="104" spans="2:7" ht="15.75" thickBot="1">
      <c r="B104" s="172" t="s">
        <v>226</v>
      </c>
      <c r="C104" s="515" t="s">
        <v>39</v>
      </c>
      <c r="D104" s="515"/>
      <c r="E104" s="41">
        <f>SUM(E105:E106)</f>
        <v>9500</v>
      </c>
      <c r="F104" s="41"/>
      <c r="G104" s="338"/>
    </row>
    <row r="105" spans="2:7" ht="12.75">
      <c r="B105" s="170"/>
      <c r="C105" s="97"/>
      <c r="D105" s="79" t="s">
        <v>259</v>
      </c>
      <c r="E105" s="59">
        <v>9500</v>
      </c>
      <c r="F105" s="59"/>
      <c r="G105" s="379"/>
    </row>
    <row r="106" spans="2:7" ht="13.5" thickBot="1">
      <c r="B106" s="170"/>
      <c r="C106" s="97"/>
      <c r="D106" s="83"/>
      <c r="E106" s="63"/>
      <c r="F106" s="63"/>
      <c r="G106" s="381"/>
    </row>
    <row r="107" spans="2:7" ht="15.75" thickBot="1">
      <c r="B107" s="224" t="s">
        <v>159</v>
      </c>
      <c r="C107" s="509" t="s">
        <v>45</v>
      </c>
      <c r="D107" s="509"/>
      <c r="E107" s="41">
        <f>SUM(E108:E125)</f>
        <v>3494669</v>
      </c>
      <c r="F107" s="41"/>
      <c r="G107" s="338"/>
    </row>
    <row r="108" spans="2:7" ht="12.75">
      <c r="B108" s="170"/>
      <c r="C108" s="97"/>
      <c r="D108" s="79" t="s">
        <v>297</v>
      </c>
      <c r="E108" s="286"/>
      <c r="F108" s="286"/>
      <c r="G108" s="379"/>
    </row>
    <row r="109" spans="2:7" ht="12.75">
      <c r="B109" s="170"/>
      <c r="C109" s="97"/>
      <c r="D109" s="80" t="s">
        <v>253</v>
      </c>
      <c r="E109" s="287"/>
      <c r="F109" s="287"/>
      <c r="G109" s="380"/>
    </row>
    <row r="110" spans="2:7" ht="12.75">
      <c r="B110" s="170"/>
      <c r="C110" s="97"/>
      <c r="D110" s="80" t="s">
        <v>327</v>
      </c>
      <c r="E110" s="61">
        <v>1518447</v>
      </c>
      <c r="F110" s="61"/>
      <c r="G110" s="380"/>
    </row>
    <row r="111" spans="2:7" ht="12.75">
      <c r="B111" s="170"/>
      <c r="C111" s="97"/>
      <c r="D111" s="80" t="s">
        <v>362</v>
      </c>
      <c r="E111" s="61"/>
      <c r="F111" s="61"/>
      <c r="G111" s="380"/>
    </row>
    <row r="112" spans="2:7" ht="12.75">
      <c r="B112" s="170"/>
      <c r="C112" s="97"/>
      <c r="D112" s="80" t="s">
        <v>328</v>
      </c>
      <c r="E112" s="61">
        <v>1805975</v>
      </c>
      <c r="F112" s="61"/>
      <c r="G112" s="380"/>
    </row>
    <row r="113" spans="2:7" ht="12.75">
      <c r="B113" s="170"/>
      <c r="C113" s="97"/>
      <c r="D113" s="80" t="s">
        <v>329</v>
      </c>
      <c r="E113" s="287"/>
      <c r="F113" s="287"/>
      <c r="G113" s="380"/>
    </row>
    <row r="114" spans="2:7" ht="12.75">
      <c r="B114" s="170"/>
      <c r="C114" s="97"/>
      <c r="D114" s="80" t="s">
        <v>326</v>
      </c>
      <c r="E114" s="287"/>
      <c r="F114" s="287"/>
      <c r="G114" s="380"/>
    </row>
    <row r="115" spans="2:7" ht="12.75">
      <c r="B115" s="170"/>
      <c r="C115" s="97"/>
      <c r="D115" s="80" t="s">
        <v>254</v>
      </c>
      <c r="E115" s="287"/>
      <c r="F115" s="287"/>
      <c r="G115" s="380"/>
    </row>
    <row r="116" spans="2:7" ht="12.75">
      <c r="B116" s="170"/>
      <c r="C116" s="97"/>
      <c r="D116" s="80" t="s">
        <v>316</v>
      </c>
      <c r="E116" s="61">
        <v>153223</v>
      </c>
      <c r="F116" s="61"/>
      <c r="G116" s="380"/>
    </row>
    <row r="117" spans="2:7" ht="12.75">
      <c r="B117" s="170"/>
      <c r="C117" s="97"/>
      <c r="D117" s="80" t="s">
        <v>321</v>
      </c>
      <c r="E117" s="61"/>
      <c r="F117" s="61"/>
      <c r="G117" s="380"/>
    </row>
    <row r="118" spans="2:7" ht="12.75">
      <c r="B118" s="170"/>
      <c r="C118" s="97"/>
      <c r="D118" s="80" t="s">
        <v>296</v>
      </c>
      <c r="E118" s="287"/>
      <c r="F118" s="287"/>
      <c r="G118" s="380"/>
    </row>
    <row r="119" spans="2:7" ht="12.75">
      <c r="B119" s="170"/>
      <c r="C119" s="97"/>
      <c r="D119" s="80" t="s">
        <v>317</v>
      </c>
      <c r="E119" s="61"/>
      <c r="F119" s="61"/>
      <c r="G119" s="380"/>
    </row>
    <row r="120" spans="2:7" ht="12.75">
      <c r="B120" s="170"/>
      <c r="C120" s="97"/>
      <c r="D120" s="80" t="s">
        <v>318</v>
      </c>
      <c r="E120" s="287"/>
      <c r="F120" s="287"/>
      <c r="G120" s="380"/>
    </row>
    <row r="121" spans="2:7" ht="12.75">
      <c r="B121" s="170"/>
      <c r="C121" s="97"/>
      <c r="D121" s="80" t="s">
        <v>242</v>
      </c>
      <c r="E121" s="61"/>
      <c r="F121" s="61"/>
      <c r="G121" s="380"/>
    </row>
    <row r="122" spans="2:7" ht="12.75">
      <c r="B122" s="170"/>
      <c r="C122" s="97"/>
      <c r="D122" s="80" t="s">
        <v>363</v>
      </c>
      <c r="E122" s="61"/>
      <c r="F122" s="61"/>
      <c r="G122" s="380"/>
    </row>
    <row r="123" spans="2:7" ht="12.75">
      <c r="B123" s="170"/>
      <c r="C123" s="97"/>
      <c r="D123" s="80" t="s">
        <v>258</v>
      </c>
      <c r="E123" s="287"/>
      <c r="F123" s="287"/>
      <c r="G123" s="380"/>
    </row>
    <row r="124" spans="2:7" ht="12.75">
      <c r="B124" s="170"/>
      <c r="C124" s="97"/>
      <c r="D124" s="80" t="s">
        <v>252</v>
      </c>
      <c r="E124" s="287"/>
      <c r="F124" s="287"/>
      <c r="G124" s="380"/>
    </row>
    <row r="125" spans="2:7" ht="13.5" thickBot="1">
      <c r="B125" s="170"/>
      <c r="C125" s="97"/>
      <c r="D125" s="100" t="s">
        <v>269</v>
      </c>
      <c r="E125" s="101">
        <v>17024</v>
      </c>
      <c r="F125" s="101"/>
      <c r="G125" s="387"/>
    </row>
    <row r="126" spans="2:7" ht="17.25" thickBot="1" thickTop="1">
      <c r="B126" s="510" t="s">
        <v>160</v>
      </c>
      <c r="C126" s="511"/>
      <c r="D126" s="511"/>
      <c r="E126" s="113">
        <f>E107+E100+E104+E96+E78+E72+E63+E53+E49+E30+E11+E9+E4</f>
        <v>7314670</v>
      </c>
      <c r="F126" s="113">
        <f>F107+F100+F104+F96+F78+F72+F63+F53+F49+F30+F11+F9+F4</f>
        <v>358384</v>
      </c>
      <c r="G126" s="388">
        <f>G107+G100+G104+G96+G78+G72+G63+G53+G49+G30+G11+G9+G4</f>
        <v>708447</v>
      </c>
    </row>
    <row r="127" ht="13.5" thickTop="1"/>
    <row r="169" spans="1:6" ht="12.75">
      <c r="A169" s="508"/>
      <c r="B169" s="508"/>
      <c r="C169" s="508"/>
      <c r="D169" s="508"/>
      <c r="E169" s="508"/>
      <c r="F169" s="310"/>
    </row>
    <row r="172" spans="1:6" ht="12.75">
      <c r="A172" s="508"/>
      <c r="B172" s="508"/>
      <c r="C172" s="508"/>
      <c r="D172" s="508"/>
      <c r="E172" s="508"/>
      <c r="F172" s="310"/>
    </row>
  </sheetData>
  <sheetProtection/>
  <mergeCells count="35">
    <mergeCell ref="C65:C69"/>
    <mergeCell ref="C2:C3"/>
    <mergeCell ref="C96:D96"/>
    <mergeCell ref="C72:D72"/>
    <mergeCell ref="C30:D30"/>
    <mergeCell ref="C73:C77"/>
    <mergeCell ref="C79:C95"/>
    <mergeCell ref="D2:D3"/>
    <mergeCell ref="C9:D9"/>
    <mergeCell ref="D70:D71"/>
    <mergeCell ref="C4:D4"/>
    <mergeCell ref="B79:B95"/>
    <mergeCell ref="C104:D104"/>
    <mergeCell ref="C49:D49"/>
    <mergeCell ref="C11:D11"/>
    <mergeCell ref="C53:D53"/>
    <mergeCell ref="B70:B71"/>
    <mergeCell ref="C100:D100"/>
    <mergeCell ref="B73:B77"/>
    <mergeCell ref="C78:D78"/>
    <mergeCell ref="B64:B69"/>
    <mergeCell ref="A172:E172"/>
    <mergeCell ref="C107:D107"/>
    <mergeCell ref="A169:E169"/>
    <mergeCell ref="B126:D126"/>
    <mergeCell ref="F2:F3"/>
    <mergeCell ref="G2:G3"/>
    <mergeCell ref="G70:G71"/>
    <mergeCell ref="B1:G1"/>
    <mergeCell ref="E2:E3"/>
    <mergeCell ref="E70:E71"/>
    <mergeCell ref="F70:F71"/>
    <mergeCell ref="C63:D63"/>
    <mergeCell ref="B2:B3"/>
    <mergeCell ref="C70:C71"/>
  </mergeCells>
  <printOptions/>
  <pageMargins left="0.2755905511811024" right="0.1968503937007874" top="0.4330708661417323" bottom="0.07874015748031496" header="0.44" footer="0.15748031496062992"/>
  <pageSetup horizontalDpi="300" verticalDpi="300" orientation="portrait" paperSize="9" scale="88" r:id="rId1"/>
  <ignoredErrors>
    <ignoredError sqref="B53 B63 B72:B73 B78 B3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H27"/>
  <sheetViews>
    <sheetView showGridLines="0" zoomScalePageLayoutView="0" workbookViewId="0" topLeftCell="B1">
      <selection activeCell="D22" sqref="D22"/>
    </sheetView>
  </sheetViews>
  <sheetFormatPr defaultColWidth="9.140625" defaultRowHeight="12.75"/>
  <cols>
    <col min="1" max="1" width="0.85546875" style="0" hidden="1" customWidth="1"/>
    <col min="2" max="2" width="10.57421875" style="0" customWidth="1"/>
    <col min="3" max="3" width="8.140625" style="0" customWidth="1"/>
    <col min="4" max="4" width="32.8515625" style="0" customWidth="1"/>
    <col min="5" max="6" width="10.140625" style="0" customWidth="1"/>
    <col min="7" max="7" width="10.7109375" style="0" customWidth="1"/>
  </cols>
  <sheetData>
    <row r="1" ht="12.75">
      <c r="B1" s="42" t="s">
        <v>178</v>
      </c>
    </row>
    <row r="2" ht="13.5" thickBot="1">
      <c r="B2" s="42" t="s">
        <v>179</v>
      </c>
    </row>
    <row r="3" spans="2:7" ht="12.75" customHeight="1" thickTop="1">
      <c r="B3" s="426" t="s">
        <v>118</v>
      </c>
      <c r="C3" s="418" t="s">
        <v>64</v>
      </c>
      <c r="D3" s="422" t="s">
        <v>133</v>
      </c>
      <c r="E3" s="422" t="s">
        <v>334</v>
      </c>
      <c r="F3" s="422" t="s">
        <v>401</v>
      </c>
      <c r="G3" s="535" t="s">
        <v>402</v>
      </c>
    </row>
    <row r="4" spans="2:7" ht="22.5" customHeight="1" thickBot="1">
      <c r="B4" s="427"/>
      <c r="C4" s="419"/>
      <c r="D4" s="423"/>
      <c r="E4" s="423"/>
      <c r="F4" s="423"/>
      <c r="G4" s="536"/>
    </row>
    <row r="5" spans="2:7" ht="14.25" thickBot="1" thickTop="1">
      <c r="B5" s="258">
        <v>519</v>
      </c>
      <c r="C5" s="524" t="s">
        <v>172</v>
      </c>
      <c r="D5" s="525"/>
      <c r="E5" s="262">
        <f>SUM(E6:E7)</f>
        <v>895558</v>
      </c>
      <c r="F5" s="262">
        <f>SUM(F6:F7)</f>
        <v>0</v>
      </c>
      <c r="G5" s="375">
        <f>SUM(G6:G7)</f>
        <v>0</v>
      </c>
    </row>
    <row r="6" spans="2:7" ht="12.75">
      <c r="B6" s="164"/>
      <c r="C6" s="157"/>
      <c r="D6" s="79" t="s">
        <v>173</v>
      </c>
      <c r="E6" s="59"/>
      <c r="F6" s="59"/>
      <c r="G6" s="328"/>
    </row>
    <row r="7" spans="2:7" ht="13.5" thickBot="1">
      <c r="B7" s="175"/>
      <c r="C7" s="158"/>
      <c r="D7" s="83" t="s">
        <v>174</v>
      </c>
      <c r="E7" s="63">
        <f>1595558-700000</f>
        <v>895558</v>
      </c>
      <c r="F7" s="63"/>
      <c r="G7" s="329"/>
    </row>
    <row r="8" spans="2:7" ht="13.5" thickBot="1">
      <c r="B8" s="176">
        <v>450</v>
      </c>
      <c r="C8" s="526" t="s">
        <v>113</v>
      </c>
      <c r="D8" s="527"/>
      <c r="E8" s="3">
        <f>SUM(E9:E14)</f>
        <v>2432276</v>
      </c>
      <c r="F8" s="3">
        <f>SUM(F9:F14)</f>
        <v>0</v>
      </c>
      <c r="G8" s="322">
        <f>SUM(G9:G14)</f>
        <v>0</v>
      </c>
    </row>
    <row r="9" spans="2:7" ht="12.75">
      <c r="B9" s="173"/>
      <c r="C9" s="157"/>
      <c r="D9" s="159" t="s">
        <v>182</v>
      </c>
      <c r="E9" s="59">
        <f>33200+15000</f>
        <v>48200</v>
      </c>
      <c r="F9" s="59"/>
      <c r="G9" s="328"/>
    </row>
    <row r="10" spans="2:7" ht="12.75">
      <c r="B10" s="174"/>
      <c r="C10" s="227"/>
      <c r="D10" s="228" t="s">
        <v>243</v>
      </c>
      <c r="E10" s="76"/>
      <c r="F10" s="76"/>
      <c r="G10" s="314"/>
    </row>
    <row r="11" spans="2:8" ht="12.75">
      <c r="B11" s="174"/>
      <c r="C11" s="227"/>
      <c r="D11" s="228" t="s">
        <v>175</v>
      </c>
      <c r="E11" s="76">
        <f>2160686+33200+50063-30080-27100+15000+12000-14250+60257-45000</f>
        <v>2214776</v>
      </c>
      <c r="F11" s="76"/>
      <c r="G11" s="314"/>
      <c r="H11" s="44"/>
    </row>
    <row r="12" spans="2:7" ht="12.75">
      <c r="B12" s="174"/>
      <c r="C12" s="227"/>
      <c r="D12" s="228" t="s">
        <v>176</v>
      </c>
      <c r="E12" s="76">
        <v>39100</v>
      </c>
      <c r="F12" s="76"/>
      <c r="G12" s="314"/>
    </row>
    <row r="13" spans="2:7" ht="12.75">
      <c r="B13" s="174"/>
      <c r="C13" s="160"/>
      <c r="D13" s="161" t="s">
        <v>209</v>
      </c>
      <c r="E13" s="61">
        <v>130200</v>
      </c>
      <c r="F13" s="61"/>
      <c r="G13" s="311"/>
    </row>
    <row r="14" spans="2:8" ht="13.5" thickBot="1">
      <c r="B14" s="174"/>
      <c r="C14" s="160"/>
      <c r="D14" s="161" t="s">
        <v>181</v>
      </c>
      <c r="E14" s="61"/>
      <c r="F14" s="61"/>
      <c r="G14" s="311"/>
      <c r="H14" s="44"/>
    </row>
    <row r="15" spans="2:7" ht="14.25" thickBot="1" thickTop="1">
      <c r="B15" s="528" t="s">
        <v>177</v>
      </c>
      <c r="C15" s="529"/>
      <c r="D15" s="530"/>
      <c r="E15" s="249">
        <f>E8+E5</f>
        <v>3327834</v>
      </c>
      <c r="F15" s="249">
        <f>F8+F5</f>
        <v>0</v>
      </c>
      <c r="G15" s="376">
        <f>G8+G5</f>
        <v>0</v>
      </c>
    </row>
    <row r="16" ht="13.5" thickTop="1"/>
    <row r="17" ht="13.5" thickBot="1">
      <c r="B17" s="95" t="s">
        <v>180</v>
      </c>
    </row>
    <row r="18" spans="2:7" ht="13.5" customHeight="1" thickTop="1">
      <c r="B18" s="465" t="s">
        <v>63</v>
      </c>
      <c r="C18" s="467" t="s">
        <v>64</v>
      </c>
      <c r="D18" s="469" t="s">
        <v>65</v>
      </c>
      <c r="E18" s="422" t="s">
        <v>334</v>
      </c>
      <c r="F18" s="422" t="s">
        <v>401</v>
      </c>
      <c r="G18" s="535" t="s">
        <v>402</v>
      </c>
    </row>
    <row r="19" spans="2:7" ht="21.75" customHeight="1" thickBot="1">
      <c r="B19" s="466"/>
      <c r="C19" s="468"/>
      <c r="D19" s="470"/>
      <c r="E19" s="423"/>
      <c r="F19" s="423"/>
      <c r="G19" s="536"/>
    </row>
    <row r="20" spans="2:7" ht="14.25" thickBot="1" thickTop="1">
      <c r="B20" s="180" t="s">
        <v>6</v>
      </c>
      <c r="C20" s="524" t="s">
        <v>172</v>
      </c>
      <c r="D20" s="525"/>
      <c r="E20" s="235">
        <f>SUM(E21:E26)</f>
        <v>287124</v>
      </c>
      <c r="F20" s="235">
        <f>SUM(F21:F26)</f>
        <v>287124</v>
      </c>
      <c r="G20" s="235">
        <f>SUM(G21:G26)</f>
        <v>287124</v>
      </c>
    </row>
    <row r="21" spans="2:7" ht="12.75">
      <c r="B21" s="181"/>
      <c r="C21" s="177"/>
      <c r="D21" s="177" t="s">
        <v>192</v>
      </c>
      <c r="E21" s="241">
        <v>212872</v>
      </c>
      <c r="F21" s="241">
        <v>212872</v>
      </c>
      <c r="G21" s="241">
        <v>212872</v>
      </c>
    </row>
    <row r="22" spans="2:7" ht="12.75">
      <c r="B22" s="182"/>
      <c r="C22" s="278"/>
      <c r="D22" s="301" t="s">
        <v>361</v>
      </c>
      <c r="E22" s="279">
        <v>51922</v>
      </c>
      <c r="F22" s="279">
        <v>51922</v>
      </c>
      <c r="G22" s="279">
        <v>51922</v>
      </c>
    </row>
    <row r="23" spans="2:7" ht="12.75">
      <c r="B23" s="182"/>
      <c r="C23" s="178"/>
      <c r="D23" s="251" t="s">
        <v>274</v>
      </c>
      <c r="E23" s="242"/>
      <c r="F23" s="242"/>
      <c r="G23" s="242"/>
    </row>
    <row r="24" spans="2:7" s="240" customFormat="1" ht="12.75">
      <c r="B24" s="238"/>
      <c r="C24" s="239"/>
      <c r="D24" s="243" t="s">
        <v>227</v>
      </c>
      <c r="E24" s="242">
        <f>16993+4520+817</f>
        <v>22330</v>
      </c>
      <c r="F24" s="242">
        <f>16993+4520+817</f>
        <v>22330</v>
      </c>
      <c r="G24" s="242">
        <f>16993+4520+817</f>
        <v>22330</v>
      </c>
    </row>
    <row r="25" spans="2:7" ht="12.75">
      <c r="B25" s="182"/>
      <c r="C25" s="178"/>
      <c r="D25" s="178"/>
      <c r="E25" s="236"/>
      <c r="F25" s="236"/>
      <c r="G25" s="236"/>
    </row>
    <row r="26" spans="2:7" ht="13.5" thickBot="1">
      <c r="B26" s="183"/>
      <c r="C26" s="179"/>
      <c r="D26" s="179"/>
      <c r="E26" s="237"/>
      <c r="F26" s="237"/>
      <c r="G26" s="237"/>
    </row>
    <row r="27" spans="2:7" ht="14.25" thickBot="1" thickTop="1">
      <c r="B27" s="528" t="s">
        <v>177</v>
      </c>
      <c r="C27" s="529"/>
      <c r="D27" s="530"/>
      <c r="E27" s="249">
        <f>E20</f>
        <v>287124</v>
      </c>
      <c r="F27" s="249">
        <f>F20</f>
        <v>287124</v>
      </c>
      <c r="G27" s="249">
        <f>G20</f>
        <v>287124</v>
      </c>
    </row>
    <row r="28" ht="13.5" thickTop="1"/>
  </sheetData>
  <sheetProtection/>
  <mergeCells count="17">
    <mergeCell ref="B3:B4"/>
    <mergeCell ref="C8:D8"/>
    <mergeCell ref="B27:D27"/>
    <mergeCell ref="B18:B19"/>
    <mergeCell ref="C18:C19"/>
    <mergeCell ref="D18:D19"/>
    <mergeCell ref="C20:D20"/>
    <mergeCell ref="B15:D15"/>
    <mergeCell ref="C3:C4"/>
    <mergeCell ref="D3:D4"/>
    <mergeCell ref="C5:D5"/>
    <mergeCell ref="E3:E4"/>
    <mergeCell ref="G3:G4"/>
    <mergeCell ref="G18:G19"/>
    <mergeCell ref="E18:E19"/>
    <mergeCell ref="F3:F4"/>
    <mergeCell ref="F18:F19"/>
  </mergeCells>
  <printOptions/>
  <pageMargins left="0.28" right="0.26" top="1" bottom="1" header="0.4921259845" footer="0.492125984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showGridLines="0" tabSelected="1" zoomScalePageLayoutView="0" workbookViewId="0" topLeftCell="A1">
      <selection activeCell="C20" sqref="C20"/>
    </sheetView>
  </sheetViews>
  <sheetFormatPr defaultColWidth="9.140625" defaultRowHeight="12.75"/>
  <cols>
    <col min="1" max="1" width="37.421875" style="0" customWidth="1"/>
    <col min="2" max="4" width="11.8515625" style="0" customWidth="1"/>
    <col min="5" max="5" width="15.7109375" style="0" customWidth="1"/>
    <col min="6" max="6" width="10.00390625" style="0" bestFit="1" customWidth="1"/>
    <col min="7" max="7" width="10.57421875" style="0" bestFit="1" customWidth="1"/>
  </cols>
  <sheetData>
    <row r="1" spans="1:4" ht="15">
      <c r="A1" s="531" t="s">
        <v>212</v>
      </c>
      <c r="B1" s="531"/>
      <c r="C1" s="531"/>
      <c r="D1" s="531"/>
    </row>
    <row r="2" spans="1:4" ht="13.5" thickBot="1">
      <c r="A2" s="532"/>
      <c r="B2" s="532"/>
      <c r="C2" s="532"/>
      <c r="D2" s="532"/>
    </row>
    <row r="3" spans="1:4" ht="13.5" customHeight="1" thickTop="1">
      <c r="A3" s="533" t="s">
        <v>133</v>
      </c>
      <c r="B3" s="422" t="s">
        <v>334</v>
      </c>
      <c r="C3" s="422" t="s">
        <v>401</v>
      </c>
      <c r="D3" s="535" t="s">
        <v>402</v>
      </c>
    </row>
    <row r="4" spans="1:4" ht="29.25" customHeight="1" thickBot="1">
      <c r="A4" s="534"/>
      <c r="B4" s="423"/>
      <c r="C4" s="423"/>
      <c r="D4" s="536"/>
    </row>
    <row r="5" spans="1:8" ht="13.5" thickTop="1">
      <c r="A5" s="214" t="s">
        <v>199</v>
      </c>
      <c r="B5" s="215">
        <f>'BEŽNÉ PRÍJMY'!E98</f>
        <v>8073872</v>
      </c>
      <c r="C5" s="215">
        <f>'BEŽNÉ PRÍJMY'!F98</f>
        <v>8364395</v>
      </c>
      <c r="D5" s="389">
        <f>'BEŽNÉ PRÍJMY'!G98</f>
        <v>8714458</v>
      </c>
      <c r="H5" s="44"/>
    </row>
    <row r="6" spans="1:8" ht="13.5" thickBot="1">
      <c r="A6" s="203" t="s">
        <v>200</v>
      </c>
      <c r="B6" s="204">
        <f>'BEŽNÉ VÝDAVKY'!E164</f>
        <v>8527009</v>
      </c>
      <c r="C6" s="204">
        <f>'BEŽNÉ VÝDAVKY'!F164</f>
        <v>8110574</v>
      </c>
      <c r="D6" s="390">
        <f>'BEŽNÉ VÝDAVKY'!F164</f>
        <v>8110574</v>
      </c>
      <c r="F6" s="44"/>
      <c r="H6" s="44"/>
    </row>
    <row r="7" spans="1:8" ht="13.5" thickBot="1">
      <c r="A7" s="198" t="s">
        <v>201</v>
      </c>
      <c r="B7" s="195">
        <f>B5-B6</f>
        <v>-453137</v>
      </c>
      <c r="C7" s="195">
        <f>C5-C6</f>
        <v>253821</v>
      </c>
      <c r="D7" s="391">
        <f>D5-D6</f>
        <v>603884</v>
      </c>
      <c r="H7" s="44"/>
    </row>
    <row r="8" spans="1:5" ht="10.5" customHeight="1" thickBot="1">
      <c r="A8" s="199"/>
      <c r="B8" s="196"/>
      <c r="C8" s="196"/>
      <c r="D8" s="392"/>
      <c r="E8" s="44"/>
    </row>
    <row r="9" spans="1:8" ht="12.75">
      <c r="A9" s="201" t="s">
        <v>202</v>
      </c>
      <c r="B9" s="202">
        <f>'KAPITÁLOVÉ PRÍJMY'!E37</f>
        <v>4727097</v>
      </c>
      <c r="C9" s="202">
        <f>'KAPITÁLOVÉ PRÍJMY'!F37</f>
        <v>391687</v>
      </c>
      <c r="D9" s="393">
        <f>'KAPITÁLOVÉ PRÍJMY'!G37</f>
        <v>391687</v>
      </c>
      <c r="E9" s="44"/>
      <c r="H9" s="44"/>
    </row>
    <row r="10" spans="1:8" ht="13.5" thickBot="1">
      <c r="A10" s="203" t="s">
        <v>203</v>
      </c>
      <c r="B10" s="204">
        <f>'KAPITÁLVÉ VÝDAVKY'!E126</f>
        <v>7314670</v>
      </c>
      <c r="C10" s="204">
        <f>'KAPITÁLVÉ VÝDAVKY'!F126</f>
        <v>358384</v>
      </c>
      <c r="D10" s="390">
        <f>'KAPITÁLVÉ VÝDAVKY'!G126</f>
        <v>708447</v>
      </c>
      <c r="E10" s="44"/>
      <c r="H10" s="44"/>
    </row>
    <row r="11" spans="1:8" ht="13.5" thickBot="1">
      <c r="A11" s="200" t="s">
        <v>204</v>
      </c>
      <c r="B11" s="195">
        <f>B9-B10</f>
        <v>-2587573</v>
      </c>
      <c r="C11" s="195">
        <f>C9-C10</f>
        <v>33303</v>
      </c>
      <c r="D11" s="391">
        <f>D9-D10</f>
        <v>-316760</v>
      </c>
      <c r="E11" s="44"/>
      <c r="H11" s="44"/>
    </row>
    <row r="12" spans="1:8" ht="11.25" customHeight="1" thickBot="1">
      <c r="A12" s="199"/>
      <c r="B12" s="196"/>
      <c r="C12" s="196"/>
      <c r="D12" s="392"/>
      <c r="H12" s="44"/>
    </row>
    <row r="13" spans="1:8" ht="12.75">
      <c r="A13" s="201" t="s">
        <v>205</v>
      </c>
      <c r="B13" s="202">
        <f>'FINANČNÉ OPERÁCIE'!E15</f>
        <v>3327834</v>
      </c>
      <c r="C13" s="202">
        <f>'FINANČNÉ OPERÁCIE'!F15</f>
        <v>0</v>
      </c>
      <c r="D13" s="393">
        <f>'FINANČNÉ OPERÁCIE'!G15</f>
        <v>0</v>
      </c>
      <c r="H13" s="44"/>
    </row>
    <row r="14" spans="1:8" ht="13.5" thickBot="1">
      <c r="A14" s="203" t="s">
        <v>206</v>
      </c>
      <c r="B14" s="204">
        <f>'FINANČNÉ OPERÁCIE'!E27</f>
        <v>287124</v>
      </c>
      <c r="C14" s="204">
        <f>'FINANČNÉ OPERÁCIE'!F27</f>
        <v>287124</v>
      </c>
      <c r="D14" s="390">
        <f>'FINANČNÉ OPERÁCIE'!G27</f>
        <v>287124</v>
      </c>
      <c r="H14" s="44"/>
    </row>
    <row r="15" spans="1:8" ht="13.5" thickBot="1">
      <c r="A15" s="200" t="s">
        <v>207</v>
      </c>
      <c r="B15" s="197">
        <f>B13-B14</f>
        <v>3040710</v>
      </c>
      <c r="C15" s="197">
        <f>C13-C14</f>
        <v>-287124</v>
      </c>
      <c r="D15" s="394">
        <f>D13-D14</f>
        <v>-287124</v>
      </c>
      <c r="H15" s="44"/>
    </row>
    <row r="16" spans="1:4" ht="12" customHeight="1" thickBot="1">
      <c r="A16" s="229"/>
      <c r="B16" s="230"/>
      <c r="C16" s="230"/>
      <c r="D16" s="395"/>
    </row>
    <row r="17" spans="1:5" ht="17.25" thickBot="1" thickTop="1">
      <c r="A17" s="231" t="s">
        <v>208</v>
      </c>
      <c r="B17" s="232">
        <f>B7+B11+B15</f>
        <v>0</v>
      </c>
      <c r="C17" s="232">
        <f>C7+C11+C15</f>
        <v>0</v>
      </c>
      <c r="D17" s="396">
        <f>D7+D11+D15</f>
        <v>0</v>
      </c>
      <c r="E17" s="296"/>
    </row>
    <row r="18" ht="13.5" thickTop="1">
      <c r="E18" s="44"/>
    </row>
    <row r="19" ht="12.75">
      <c r="E19" s="44"/>
    </row>
    <row r="20" spans="2:4" ht="12.75">
      <c r="B20" s="44"/>
      <c r="C20" s="44"/>
      <c r="D20" s="44"/>
    </row>
    <row r="23" spans="3:4" ht="12.75">
      <c r="C23" s="44"/>
      <c r="D23" s="44"/>
    </row>
    <row r="28" ht="12.75">
      <c r="D28" s="128"/>
    </row>
  </sheetData>
  <sheetProtection/>
  <mergeCells count="6">
    <mergeCell ref="A1:D1"/>
    <mergeCell ref="A2:D2"/>
    <mergeCell ref="A3:A4"/>
    <mergeCell ref="B3:B4"/>
    <mergeCell ref="D3:D4"/>
    <mergeCell ref="C3:C4"/>
  </mergeCells>
  <printOptions/>
  <pageMargins left="0.37" right="0.34" top="1" bottom="1" header="0.4921259845" footer="0.4921259845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kamenicky</cp:lastModifiedBy>
  <cp:lastPrinted>2009-12-10T06:46:47Z</cp:lastPrinted>
  <dcterms:created xsi:type="dcterms:W3CDTF">2006-09-20T05:43:56Z</dcterms:created>
  <dcterms:modified xsi:type="dcterms:W3CDTF">2009-12-10T06:58:33Z</dcterms:modified>
  <cp:category/>
  <cp:version/>
  <cp:contentType/>
  <cp:contentStatus/>
</cp:coreProperties>
</file>